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updateLinks="never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GolfRIOM\PP\ISAPP\2025\"/>
    </mc:Choice>
  </mc:AlternateContent>
  <xr:revisionPtr revIDLastSave="0" documentId="8_{0253313C-30A9-41F9-A8D1-C68DB03C1C49}" xr6:coauthVersionLast="47" xr6:coauthVersionMax="47" xr10:uidLastSave="{00000000-0000-0000-0000-000000000000}"/>
  <bookViews>
    <workbookView xWindow="1950" yWindow="60" windowWidth="17655" windowHeight="14940" tabRatio="391" xr2:uid="{00000000-000D-0000-FFFF-FFFF00000000}"/>
  </bookViews>
  <sheets>
    <sheet name="GENERAL INDIV" sheetId="1" r:id="rId1"/>
    <sheet name="GENERAL EQUIPE" sheetId="3" r:id="rId2"/>
    <sheet name="T1" sheetId="2" r:id="rId3"/>
    <sheet name="T2" sheetId="4" r:id="rId4"/>
    <sheet name="T3" sheetId="5" r:id="rId5"/>
    <sheet name="T4" sheetId="6" r:id="rId6"/>
    <sheet name="T5" sheetId="7" r:id="rId7"/>
    <sheet name="T6" sheetId="8" r:id="rId8"/>
    <sheet name="T7" sheetId="9" r:id="rId9"/>
  </sheets>
  <externalReferences>
    <externalReference r:id="rId10"/>
  </externalReferences>
  <definedNames>
    <definedName name="_xlnm._FilterDatabase" localSheetId="1" hidden="1">'GENERAL EQUIPE'!#REF!</definedName>
    <definedName name="_xlnm._FilterDatabase" localSheetId="0" hidden="1">'GENERAL INDIV'!$D$4:$D$127</definedName>
    <definedName name="NOM" localSheetId="1">[1]DATA!#REF!</definedName>
    <definedName name="NOM" localSheetId="3">[1]DATA!#REF!</definedName>
    <definedName name="NOM" localSheetId="4">[1]DATA!#REF!</definedName>
    <definedName name="NOM" localSheetId="5">[1]DATA!#REF!</definedName>
    <definedName name="NOM" localSheetId="6">[1]DATA!#REF!</definedName>
    <definedName name="NOM" localSheetId="7">[1]DATA!#REF!</definedName>
    <definedName name="NOM" localSheetId="8">[1]DATA!#REF!</definedName>
    <definedName name="NOM">[1]DATA!#REF!</definedName>
    <definedName name="NOMBIS" localSheetId="3">[1]DATA!#REF!</definedName>
    <definedName name="NOMBIS" localSheetId="4">[1]DATA!#REF!</definedName>
    <definedName name="NOMBIS" localSheetId="5">[1]DATA!#REF!</definedName>
    <definedName name="NOMBIS" localSheetId="6">[1]DATA!#REF!</definedName>
    <definedName name="NOMBIS" localSheetId="7">[1]DATA!#REF!</definedName>
    <definedName name="NOMBIS" localSheetId="8">[1]DATA!#REF!</definedName>
    <definedName name="NOMBIS">[1]DATA!#REF!</definedName>
    <definedName name="NOMFSDF" localSheetId="5">[1]DATA!#REF!</definedName>
    <definedName name="NOMFSDF" localSheetId="6">[1]DATA!#REF!</definedName>
    <definedName name="NOMFSDF" localSheetId="7">[1]DATA!#REF!</definedName>
    <definedName name="NOMFSDF" localSheetId="8">[1]DATA!#REF!</definedName>
    <definedName name="NOMFSDF">[1]DATA!#REF!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6" i="1" l="1"/>
  <c r="C63" i="9"/>
  <c r="C64" i="9"/>
  <c r="C52" i="9"/>
  <c r="C53" i="9"/>
  <c r="C11" i="9"/>
  <c r="I25" i="1"/>
  <c r="C17" i="8"/>
  <c r="E112" i="1"/>
  <c r="F112" i="1"/>
  <c r="G112" i="1"/>
  <c r="H112" i="1"/>
  <c r="I112" i="1"/>
  <c r="E53" i="1"/>
  <c r="F53" i="1"/>
  <c r="G53" i="1"/>
  <c r="H53" i="1"/>
  <c r="I53" i="1"/>
  <c r="E50" i="1"/>
  <c r="F50" i="1"/>
  <c r="G50" i="1"/>
  <c r="H50" i="1"/>
  <c r="I50" i="1"/>
  <c r="E121" i="1"/>
  <c r="F121" i="1"/>
  <c r="G121" i="1"/>
  <c r="H121" i="1"/>
  <c r="I121" i="1"/>
  <c r="E40" i="1"/>
  <c r="F40" i="1"/>
  <c r="G40" i="1"/>
  <c r="H40" i="1"/>
  <c r="I40" i="1"/>
  <c r="E60" i="1"/>
  <c r="F60" i="1"/>
  <c r="G60" i="1"/>
  <c r="H60" i="1"/>
  <c r="I60" i="1"/>
  <c r="E59" i="1"/>
  <c r="F59" i="1"/>
  <c r="G59" i="1"/>
  <c r="H59" i="1"/>
  <c r="I59" i="1"/>
  <c r="E54" i="1"/>
  <c r="F54" i="1"/>
  <c r="G54" i="1"/>
  <c r="H54" i="1"/>
  <c r="I54" i="1"/>
  <c r="E42" i="1"/>
  <c r="F42" i="1"/>
  <c r="G42" i="1"/>
  <c r="H42" i="1"/>
  <c r="I42" i="1"/>
  <c r="E56" i="1"/>
  <c r="F56" i="1"/>
  <c r="G56" i="1"/>
  <c r="H56" i="1"/>
  <c r="I56" i="1"/>
  <c r="E58" i="1"/>
  <c r="F58" i="1"/>
  <c r="G58" i="1"/>
  <c r="H58" i="1"/>
  <c r="I58" i="1"/>
  <c r="E102" i="1"/>
  <c r="F102" i="1"/>
  <c r="G102" i="1"/>
  <c r="H102" i="1"/>
  <c r="I102" i="1"/>
  <c r="L8" i="8" a="1"/>
  <c r="L8" i="8" s="1"/>
  <c r="E109" i="1"/>
  <c r="F109" i="1"/>
  <c r="G109" i="1"/>
  <c r="H109" i="1"/>
  <c r="I109" i="1"/>
  <c r="U13" i="8" l="1"/>
  <c r="U12" i="8"/>
  <c r="C72" i="8"/>
  <c r="C55" i="8"/>
  <c r="C26" i="8"/>
  <c r="C25" i="8"/>
  <c r="C27" i="8"/>
  <c r="C28" i="8"/>
  <c r="C29" i="8"/>
  <c r="C30" i="8"/>
  <c r="C31" i="8"/>
  <c r="C32" i="8"/>
  <c r="C6" i="8"/>
  <c r="C8" i="8"/>
  <c r="C9" i="8"/>
  <c r="C7" i="8"/>
  <c r="C10" i="8"/>
  <c r="C11" i="8"/>
  <c r="C12" i="8"/>
  <c r="E114" i="1"/>
  <c r="F114" i="1"/>
  <c r="G114" i="1"/>
  <c r="H114" i="1"/>
  <c r="I114" i="1"/>
  <c r="E97" i="1"/>
  <c r="F97" i="1"/>
  <c r="G97" i="1"/>
  <c r="H97" i="1"/>
  <c r="I97" i="1"/>
  <c r="C49" i="7" l="1"/>
  <c r="C50" i="7"/>
  <c r="C51" i="7"/>
  <c r="C52" i="7"/>
  <c r="C53" i="7"/>
  <c r="C54" i="7"/>
  <c r="C55" i="7"/>
  <c r="C56" i="7"/>
  <c r="C62" i="7"/>
  <c r="C63" i="7"/>
  <c r="C8" i="7"/>
  <c r="C9" i="7"/>
  <c r="G5" i="6"/>
  <c r="P7" i="6" s="1"/>
  <c r="G6" i="6"/>
  <c r="G7" i="6"/>
  <c r="G17" i="6"/>
  <c r="P8" i="6" s="1"/>
  <c r="G18" i="6"/>
  <c r="G19" i="6"/>
  <c r="G53" i="6"/>
  <c r="P11" i="6" s="1"/>
  <c r="F10" i="3" s="1"/>
  <c r="G54" i="6"/>
  <c r="G55" i="6"/>
  <c r="G39" i="6"/>
  <c r="P10" i="6" s="1"/>
  <c r="F9" i="3" s="1"/>
  <c r="G40" i="6"/>
  <c r="G41" i="6"/>
  <c r="G67" i="6"/>
  <c r="P12" i="6" s="1"/>
  <c r="F8" i="3" s="1"/>
  <c r="G68" i="6"/>
  <c r="G69" i="6"/>
  <c r="G77" i="6"/>
  <c r="P13" i="6" s="1"/>
  <c r="F11" i="3" s="1"/>
  <c r="G78" i="6"/>
  <c r="G79" i="6"/>
  <c r="G31" i="6"/>
  <c r="P9" i="6" s="1"/>
  <c r="F12" i="3" s="1"/>
  <c r="G32" i="6"/>
  <c r="G33" i="6"/>
  <c r="C79" i="6"/>
  <c r="C56" i="6"/>
  <c r="C57" i="6"/>
  <c r="C58" i="6"/>
  <c r="C8" i="6"/>
  <c r="C9" i="6"/>
  <c r="C70" i="5"/>
  <c r="C23" i="5"/>
  <c r="C44" i="5"/>
  <c r="C67" i="5"/>
  <c r="C54" i="5"/>
  <c r="C55" i="5"/>
  <c r="G5" i="4"/>
  <c r="G6" i="4"/>
  <c r="P7" i="4" s="1"/>
  <c r="D6" i="3" s="1"/>
  <c r="G7" i="4"/>
  <c r="G17" i="4"/>
  <c r="G18" i="4"/>
  <c r="G19" i="4"/>
  <c r="G35" i="4"/>
  <c r="G36" i="4"/>
  <c r="G37" i="4"/>
  <c r="G42" i="4"/>
  <c r="G43" i="4"/>
  <c r="G44" i="4"/>
  <c r="G64" i="4"/>
  <c r="P11" i="4" s="1"/>
  <c r="D10" i="3" s="1"/>
  <c r="G65" i="4"/>
  <c r="G66" i="4"/>
  <c r="G78" i="4"/>
  <c r="G79" i="4"/>
  <c r="G80" i="4"/>
  <c r="G85" i="4"/>
  <c r="G86" i="4"/>
  <c r="G87" i="4"/>
  <c r="C58" i="4"/>
  <c r="C53" i="4"/>
  <c r="C68" i="4"/>
  <c r="C69" i="4"/>
  <c r="C29" i="4"/>
  <c r="C5" i="4"/>
  <c r="F92" i="1" s="1"/>
  <c r="C6" i="4"/>
  <c r="C7" i="4"/>
  <c r="C8" i="4"/>
  <c r="C9" i="4"/>
  <c r="C10" i="4"/>
  <c r="C11" i="4"/>
  <c r="C12" i="4"/>
  <c r="C13" i="4"/>
  <c r="C14" i="4"/>
  <c r="C15" i="4"/>
  <c r="C18" i="4"/>
  <c r="C19" i="4"/>
  <c r="C20" i="4"/>
  <c r="C21" i="4"/>
  <c r="C22" i="4"/>
  <c r="C23" i="4"/>
  <c r="C24" i="4"/>
  <c r="C25" i="4"/>
  <c r="C26" i="4"/>
  <c r="C27" i="4"/>
  <c r="C28" i="4"/>
  <c r="C30" i="4"/>
  <c r="C31" i="4"/>
  <c r="C32" i="4"/>
  <c r="C33" i="4"/>
  <c r="C36" i="4"/>
  <c r="C37" i="4"/>
  <c r="C38" i="4"/>
  <c r="C39" i="4"/>
  <c r="C40" i="4"/>
  <c r="C43" i="4"/>
  <c r="C44" i="4"/>
  <c r="C45" i="4"/>
  <c r="C46" i="4"/>
  <c r="C47" i="4"/>
  <c r="C48" i="4"/>
  <c r="C49" i="4"/>
  <c r="C50" i="4"/>
  <c r="C51" i="4"/>
  <c r="C52" i="4"/>
  <c r="C54" i="4"/>
  <c r="C55" i="4"/>
  <c r="C56" i="4"/>
  <c r="C57" i="4"/>
  <c r="C59" i="4"/>
  <c r="C60" i="4"/>
  <c r="C61" i="4"/>
  <c r="C62" i="4"/>
  <c r="C65" i="4"/>
  <c r="C66" i="4"/>
  <c r="C67" i="4"/>
  <c r="C70" i="4"/>
  <c r="C71" i="4"/>
  <c r="C72" i="4"/>
  <c r="C73" i="4"/>
  <c r="C74" i="4"/>
  <c r="C75" i="4"/>
  <c r="C76" i="4"/>
  <c r="C79" i="4"/>
  <c r="C80" i="4"/>
  <c r="C81" i="4"/>
  <c r="C82" i="4"/>
  <c r="C83" i="4"/>
  <c r="C86" i="4"/>
  <c r="C87" i="4"/>
  <c r="C88" i="4"/>
  <c r="C89" i="4"/>
  <c r="G15" i="9"/>
  <c r="G16" i="9"/>
  <c r="G17" i="9"/>
  <c r="G27" i="9"/>
  <c r="G28" i="9"/>
  <c r="G29" i="9"/>
  <c r="G35" i="9"/>
  <c r="G36" i="9"/>
  <c r="G37" i="9"/>
  <c r="G47" i="9"/>
  <c r="G48" i="9"/>
  <c r="G49" i="9"/>
  <c r="G61" i="9"/>
  <c r="G62" i="9"/>
  <c r="G63" i="9"/>
  <c r="G73" i="9"/>
  <c r="G74" i="9"/>
  <c r="G75" i="9"/>
  <c r="G23" i="8"/>
  <c r="G24" i="8"/>
  <c r="G25" i="8"/>
  <c r="G44" i="8"/>
  <c r="G45" i="8"/>
  <c r="G46" i="8"/>
  <c r="G52" i="8"/>
  <c r="G53" i="8"/>
  <c r="G54" i="8"/>
  <c r="G66" i="8"/>
  <c r="G67" i="8"/>
  <c r="G68" i="8"/>
  <c r="G75" i="8"/>
  <c r="G76" i="8"/>
  <c r="G77" i="8"/>
  <c r="G84" i="8"/>
  <c r="G85" i="8"/>
  <c r="G86" i="8"/>
  <c r="G5" i="9"/>
  <c r="G6" i="9"/>
  <c r="G7" i="9"/>
  <c r="G5" i="8"/>
  <c r="G6" i="8"/>
  <c r="G7" i="8"/>
  <c r="G17" i="7"/>
  <c r="G18" i="7"/>
  <c r="G19" i="7"/>
  <c r="G29" i="7"/>
  <c r="G30" i="7"/>
  <c r="G31" i="7"/>
  <c r="G37" i="7"/>
  <c r="G38" i="7"/>
  <c r="G39" i="7"/>
  <c r="G49" i="7"/>
  <c r="G50" i="7"/>
  <c r="G51" i="7"/>
  <c r="G61" i="7"/>
  <c r="G62" i="7"/>
  <c r="G63" i="7"/>
  <c r="G72" i="7"/>
  <c r="G73" i="7"/>
  <c r="G74" i="7"/>
  <c r="G5" i="7"/>
  <c r="G6" i="7"/>
  <c r="G7" i="7"/>
  <c r="G15" i="5"/>
  <c r="G16" i="5"/>
  <c r="G17" i="5"/>
  <c r="G28" i="5"/>
  <c r="G29" i="5"/>
  <c r="G30" i="5"/>
  <c r="G36" i="5"/>
  <c r="G37" i="5"/>
  <c r="G38" i="5"/>
  <c r="G50" i="5"/>
  <c r="G51" i="5"/>
  <c r="G52" i="5"/>
  <c r="G63" i="5"/>
  <c r="G64" i="5"/>
  <c r="G65" i="5"/>
  <c r="G75" i="5"/>
  <c r="G76" i="5"/>
  <c r="G77" i="5"/>
  <c r="G5" i="5"/>
  <c r="G6" i="5"/>
  <c r="G7" i="5"/>
  <c r="G15" i="2"/>
  <c r="G16" i="2"/>
  <c r="P8" i="2" s="1"/>
  <c r="G17" i="2"/>
  <c r="G29" i="2"/>
  <c r="P9" i="2" s="1"/>
  <c r="Q9" i="2" s="1"/>
  <c r="G30" i="2"/>
  <c r="G31" i="2"/>
  <c r="G37" i="2"/>
  <c r="P10" i="2" s="1"/>
  <c r="G38" i="2"/>
  <c r="G39" i="2"/>
  <c r="G51" i="2"/>
  <c r="P11" i="2" s="1"/>
  <c r="G52" i="2"/>
  <c r="G53" i="2"/>
  <c r="G62" i="2"/>
  <c r="P12" i="2" s="1"/>
  <c r="C8" i="3" s="1"/>
  <c r="G63" i="2"/>
  <c r="G64" i="2"/>
  <c r="G72" i="2"/>
  <c r="G73" i="2"/>
  <c r="G74" i="2"/>
  <c r="P13" i="2"/>
  <c r="G5" i="2"/>
  <c r="G6" i="2"/>
  <c r="G7" i="2"/>
  <c r="P7" i="2"/>
  <c r="C5" i="2"/>
  <c r="E92" i="1" s="1"/>
  <c r="C6" i="2"/>
  <c r="E89" i="1" s="1"/>
  <c r="C7" i="2"/>
  <c r="C8" i="2"/>
  <c r="C9" i="2"/>
  <c r="C10" i="2"/>
  <c r="C11" i="2"/>
  <c r="C12" i="2"/>
  <c r="C15" i="2"/>
  <c r="C16" i="2"/>
  <c r="C17" i="2"/>
  <c r="C18" i="2"/>
  <c r="C19" i="2"/>
  <c r="C20" i="2"/>
  <c r="C21" i="2"/>
  <c r="C22" i="2"/>
  <c r="C23" i="2"/>
  <c r="C24" i="2"/>
  <c r="C25" i="2"/>
  <c r="C26" i="2"/>
  <c r="C29" i="2"/>
  <c r="C30" i="2"/>
  <c r="C31" i="2"/>
  <c r="C32" i="2"/>
  <c r="C33" i="2"/>
  <c r="C34" i="2"/>
  <c r="C37" i="2"/>
  <c r="C38" i="2"/>
  <c r="C39" i="2"/>
  <c r="C40" i="2"/>
  <c r="C41" i="2"/>
  <c r="C42" i="2"/>
  <c r="C43" i="2"/>
  <c r="C44" i="2"/>
  <c r="C45" i="2"/>
  <c r="C46" i="2"/>
  <c r="C47" i="2"/>
  <c r="C48" i="2"/>
  <c r="C51" i="2"/>
  <c r="C52" i="2"/>
  <c r="C53" i="2"/>
  <c r="C54" i="2"/>
  <c r="C55" i="2"/>
  <c r="C56" i="2"/>
  <c r="C57" i="2"/>
  <c r="C58" i="2"/>
  <c r="C59" i="2"/>
  <c r="C62" i="2"/>
  <c r="C63" i="2"/>
  <c r="C64" i="2"/>
  <c r="C65" i="2"/>
  <c r="C66" i="2"/>
  <c r="C67" i="2"/>
  <c r="C68" i="2"/>
  <c r="C69" i="2"/>
  <c r="C72" i="2"/>
  <c r="C73" i="2"/>
  <c r="C74" i="2"/>
  <c r="C75" i="2"/>
  <c r="C76" i="2"/>
  <c r="C77" i="2"/>
  <c r="C5" i="5"/>
  <c r="G90" i="1" s="1"/>
  <c r="C6" i="5"/>
  <c r="C7" i="5"/>
  <c r="C8" i="5"/>
  <c r="C9" i="5"/>
  <c r="C10" i="5"/>
  <c r="C11" i="5"/>
  <c r="C12" i="5"/>
  <c r="C15" i="5"/>
  <c r="C16" i="5"/>
  <c r="C17" i="5"/>
  <c r="C18" i="5"/>
  <c r="C21" i="5"/>
  <c r="C19" i="5"/>
  <c r="C20" i="5"/>
  <c r="C22" i="5"/>
  <c r="C24" i="5"/>
  <c r="C25" i="5"/>
  <c r="C28" i="5"/>
  <c r="C29" i="5"/>
  <c r="C30" i="5"/>
  <c r="C31" i="5"/>
  <c r="C32" i="5"/>
  <c r="C33" i="5"/>
  <c r="C36" i="5"/>
  <c r="C37" i="5"/>
  <c r="C38" i="5"/>
  <c r="C39" i="5"/>
  <c r="C40" i="5"/>
  <c r="C41" i="5"/>
  <c r="C42" i="5"/>
  <c r="C43" i="5"/>
  <c r="C45" i="5"/>
  <c r="C46" i="5"/>
  <c r="C47" i="5"/>
  <c r="C50" i="5"/>
  <c r="C51" i="5"/>
  <c r="C52" i="5"/>
  <c r="C53" i="5"/>
  <c r="C56" i="5"/>
  <c r="C57" i="5"/>
  <c r="C58" i="5"/>
  <c r="C59" i="5"/>
  <c r="C60" i="5"/>
  <c r="C63" i="5"/>
  <c r="C64" i="5"/>
  <c r="C65" i="5"/>
  <c r="C66" i="5"/>
  <c r="C68" i="5"/>
  <c r="C69" i="5"/>
  <c r="C71" i="5"/>
  <c r="C73" i="5"/>
  <c r="C76" i="5"/>
  <c r="C77" i="5"/>
  <c r="C78" i="5"/>
  <c r="C5" i="6"/>
  <c r="H90" i="1" s="1"/>
  <c r="C6" i="6"/>
  <c r="C7" i="6"/>
  <c r="C10" i="6"/>
  <c r="C11" i="6"/>
  <c r="C12" i="6"/>
  <c r="C13" i="6"/>
  <c r="C14" i="6"/>
  <c r="C17" i="6"/>
  <c r="C18" i="6"/>
  <c r="C19" i="6"/>
  <c r="C20" i="6"/>
  <c r="C21" i="6"/>
  <c r="C22" i="6"/>
  <c r="C23" i="6"/>
  <c r="C24" i="6"/>
  <c r="C25" i="6"/>
  <c r="C26" i="6"/>
  <c r="C27" i="6"/>
  <c r="C28" i="6"/>
  <c r="C31" i="6"/>
  <c r="C32" i="6"/>
  <c r="C33" i="6"/>
  <c r="C34" i="6"/>
  <c r="C35" i="6"/>
  <c r="C36" i="6"/>
  <c r="C39" i="6"/>
  <c r="C40" i="6"/>
  <c r="C41" i="6"/>
  <c r="C42" i="6"/>
  <c r="C43" i="6"/>
  <c r="C44" i="6"/>
  <c r="C45" i="6"/>
  <c r="C46" i="6"/>
  <c r="C47" i="6"/>
  <c r="C48" i="6"/>
  <c r="C49" i="6"/>
  <c r="C50" i="6"/>
  <c r="C53" i="6"/>
  <c r="C54" i="6"/>
  <c r="C55" i="6"/>
  <c r="C59" i="6"/>
  <c r="C60" i="6"/>
  <c r="C61" i="6"/>
  <c r="C62" i="6"/>
  <c r="C63" i="6"/>
  <c r="C64" i="6"/>
  <c r="C67" i="6"/>
  <c r="C68" i="6"/>
  <c r="C69" i="6"/>
  <c r="C70" i="6"/>
  <c r="C71" i="6"/>
  <c r="C73" i="6"/>
  <c r="C74" i="6"/>
  <c r="C77" i="6"/>
  <c r="C78" i="6"/>
  <c r="C5" i="7"/>
  <c r="C6" i="7"/>
  <c r="C7" i="7"/>
  <c r="C10" i="7"/>
  <c r="C11" i="7"/>
  <c r="C12" i="7"/>
  <c r="C13" i="7"/>
  <c r="C14" i="7"/>
  <c r="C17" i="7"/>
  <c r="C18" i="7"/>
  <c r="C19" i="7"/>
  <c r="C20" i="7"/>
  <c r="C21" i="7"/>
  <c r="C22" i="7"/>
  <c r="C23" i="7"/>
  <c r="C24" i="7"/>
  <c r="C25" i="7"/>
  <c r="C26" i="7"/>
  <c r="C29" i="7"/>
  <c r="C30" i="7"/>
  <c r="C31" i="7"/>
  <c r="C32" i="7"/>
  <c r="C33" i="7"/>
  <c r="C34" i="7"/>
  <c r="C37" i="7"/>
  <c r="C38" i="7"/>
  <c r="C39" i="7"/>
  <c r="C40" i="7"/>
  <c r="C41" i="7"/>
  <c r="C42" i="7"/>
  <c r="C43" i="7"/>
  <c r="C44" i="7"/>
  <c r="C45" i="7"/>
  <c r="C46" i="7"/>
  <c r="C57" i="7"/>
  <c r="C58" i="7"/>
  <c r="C61" i="7"/>
  <c r="C64" i="7"/>
  <c r="C65" i="7"/>
  <c r="C66" i="7"/>
  <c r="C67" i="7"/>
  <c r="C68" i="7"/>
  <c r="C69" i="7"/>
  <c r="C72" i="7"/>
  <c r="C73" i="7"/>
  <c r="C74" i="7"/>
  <c r="C75" i="7"/>
  <c r="C76" i="7"/>
  <c r="C5" i="8"/>
  <c r="C13" i="8"/>
  <c r="C14" i="8"/>
  <c r="C15" i="8"/>
  <c r="C16" i="8"/>
  <c r="C18" i="8"/>
  <c r="C20" i="8"/>
  <c r="C21" i="8"/>
  <c r="C24" i="8"/>
  <c r="C33" i="8"/>
  <c r="C34" i="8"/>
  <c r="C35" i="8"/>
  <c r="C36" i="8"/>
  <c r="C37" i="8"/>
  <c r="C38" i="8"/>
  <c r="C39" i="8"/>
  <c r="C40" i="8"/>
  <c r="C41" i="8"/>
  <c r="C42" i="8"/>
  <c r="C45" i="8"/>
  <c r="C46" i="8"/>
  <c r="C47" i="8"/>
  <c r="C48" i="8"/>
  <c r="C49" i="8"/>
  <c r="C50" i="8"/>
  <c r="C53" i="8"/>
  <c r="C54" i="8"/>
  <c r="C56" i="8"/>
  <c r="C57" i="8"/>
  <c r="C58" i="8"/>
  <c r="C59" i="8"/>
  <c r="C60" i="8"/>
  <c r="C61" i="8"/>
  <c r="C62" i="8"/>
  <c r="C63" i="8"/>
  <c r="C64" i="8"/>
  <c r="C67" i="8"/>
  <c r="C68" i="8"/>
  <c r="C69" i="8"/>
  <c r="C70" i="8"/>
  <c r="C71" i="8"/>
  <c r="C73" i="8"/>
  <c r="C76" i="8"/>
  <c r="C77" i="8"/>
  <c r="C78" i="8"/>
  <c r="C79" i="8"/>
  <c r="C80" i="8"/>
  <c r="C81" i="8"/>
  <c r="C82" i="8"/>
  <c r="C85" i="8"/>
  <c r="C86" i="8"/>
  <c r="C87" i="8"/>
  <c r="C88" i="8"/>
  <c r="C89" i="8"/>
  <c r="C5" i="9"/>
  <c r="C6" i="9"/>
  <c r="C7" i="9"/>
  <c r="C8" i="9"/>
  <c r="C9" i="9"/>
  <c r="C10" i="9"/>
  <c r="C12" i="9"/>
  <c r="C13" i="9"/>
  <c r="C16" i="9"/>
  <c r="C17" i="9"/>
  <c r="C18" i="9"/>
  <c r="C19" i="9"/>
  <c r="C20" i="9"/>
  <c r="C21" i="9"/>
  <c r="C22" i="9"/>
  <c r="C23" i="9"/>
  <c r="C24" i="9"/>
  <c r="C25" i="9"/>
  <c r="C28" i="9"/>
  <c r="C29" i="9"/>
  <c r="C30" i="9"/>
  <c r="C31" i="9"/>
  <c r="C32" i="9"/>
  <c r="C33" i="9"/>
  <c r="C36" i="9"/>
  <c r="C37" i="9"/>
  <c r="C38" i="9"/>
  <c r="C39" i="9"/>
  <c r="C40" i="9"/>
  <c r="C41" i="9"/>
  <c r="C42" i="9"/>
  <c r="C43" i="9"/>
  <c r="C44" i="9"/>
  <c r="C45" i="9"/>
  <c r="C48" i="9"/>
  <c r="C49" i="9"/>
  <c r="C50" i="9"/>
  <c r="C51" i="9"/>
  <c r="C54" i="9"/>
  <c r="C55" i="9"/>
  <c r="C56" i="9"/>
  <c r="C57" i="9"/>
  <c r="C58" i="9"/>
  <c r="C61" i="9"/>
  <c r="C62" i="9"/>
  <c r="C65" i="9"/>
  <c r="C66" i="9"/>
  <c r="C67" i="9"/>
  <c r="C68" i="9"/>
  <c r="C69" i="9"/>
  <c r="C70" i="9"/>
  <c r="C73" i="9"/>
  <c r="C74" i="9"/>
  <c r="C75" i="9"/>
  <c r="C76" i="9"/>
  <c r="C77" i="9"/>
  <c r="L14" i="4" a="1"/>
  <c r="L14" i="4" s="1"/>
  <c r="L13" i="9" a="1"/>
  <c r="L13" i="9" s="1"/>
  <c r="L12" i="9" a="1"/>
  <c r="L12" i="9" s="1"/>
  <c r="L11" i="9" a="1"/>
  <c r="L11" i="9" s="1"/>
  <c r="K11" i="9" s="1" a="1"/>
  <c r="K11" i="9" s="1"/>
  <c r="L7" i="9" a="1"/>
  <c r="L7" i="9" s="1"/>
  <c r="L6" i="9" a="1"/>
  <c r="L6" i="9" s="1"/>
  <c r="K6" i="9" s="1" a="1"/>
  <c r="K6" i="9" s="1"/>
  <c r="L14" i="8" a="1"/>
  <c r="L14" i="8" s="1"/>
  <c r="L13" i="8" a="1"/>
  <c r="L13" i="8" s="1"/>
  <c r="L12" i="8" a="1"/>
  <c r="L12" i="8" s="1"/>
  <c r="K12" i="8" s="1" a="1"/>
  <c r="K12" i="8" s="1"/>
  <c r="L7" i="8" a="1"/>
  <c r="L7" i="8" s="1"/>
  <c r="L13" i="7" a="1"/>
  <c r="L13" i="7" s="1"/>
  <c r="L12" i="7" a="1"/>
  <c r="L12" i="7" s="1"/>
  <c r="L11" i="7" a="1"/>
  <c r="L11" i="7" s="1"/>
  <c r="L7" i="7" a="1"/>
  <c r="L7" i="7" s="1"/>
  <c r="L6" i="7" a="1"/>
  <c r="L6" i="7" s="1"/>
  <c r="J6" i="7" s="1" a="1"/>
  <c r="J6" i="7" s="1"/>
  <c r="L13" i="6" a="1"/>
  <c r="L13" i="6"/>
  <c r="L12" i="6" a="1"/>
  <c r="L12" i="6"/>
  <c r="L11" i="6" a="1"/>
  <c r="L11" i="6"/>
  <c r="J11" i="6" s="1" a="1"/>
  <c r="J11" i="6" s="1"/>
  <c r="L7" i="6" a="1"/>
  <c r="L7" i="6"/>
  <c r="L6" i="6" a="1"/>
  <c r="L6" i="6"/>
  <c r="L13" i="5" a="1"/>
  <c r="L13" i="5"/>
  <c r="L12" i="5" a="1"/>
  <c r="L12" i="5"/>
  <c r="L11" i="5" a="1"/>
  <c r="L11" i="5"/>
  <c r="L7" i="5" a="1"/>
  <c r="L7" i="5"/>
  <c r="L6" i="5" a="1"/>
  <c r="L6" i="5"/>
  <c r="L13" i="4" a="1"/>
  <c r="L13" i="4"/>
  <c r="L12" i="4" a="1"/>
  <c r="L12" i="4"/>
  <c r="L11" i="4" a="1"/>
  <c r="L11" i="4"/>
  <c r="J11" i="4" s="1" a="1"/>
  <c r="J11" i="4" s="1"/>
  <c r="L7" i="4" a="1"/>
  <c r="L7" i="4" s="1"/>
  <c r="L6" i="4" a="1"/>
  <c r="L6" i="4"/>
  <c r="J6" i="4" s="1" a="1"/>
  <c r="J6" i="4" s="1"/>
  <c r="L13" i="2" a="1"/>
  <c r="L13" i="2"/>
  <c r="L12" i="2" a="1"/>
  <c r="L12" i="2" s="1"/>
  <c r="L11" i="2" a="1"/>
  <c r="L11" i="2"/>
  <c r="J11" i="2" a="1"/>
  <c r="J11" i="2" s="1"/>
  <c r="L6" i="2" a="1"/>
  <c r="L6" i="2"/>
  <c r="J6" i="2" a="1"/>
  <c r="J6" i="2" s="1"/>
  <c r="J7" i="2" s="1" a="1"/>
  <c r="J7" i="2" s="1"/>
  <c r="L7" i="2" a="1"/>
  <c r="L7" i="2"/>
  <c r="U13" i="9"/>
  <c r="O13" i="9"/>
  <c r="U12" i="9"/>
  <c r="O12" i="9"/>
  <c r="U11" i="9"/>
  <c r="O11" i="9"/>
  <c r="U10" i="9"/>
  <c r="O10" i="9"/>
  <c r="U9" i="9"/>
  <c r="O9" i="9"/>
  <c r="U8" i="9"/>
  <c r="O8" i="9"/>
  <c r="U7" i="9"/>
  <c r="O7" i="9"/>
  <c r="O13" i="8"/>
  <c r="O12" i="8"/>
  <c r="U11" i="8"/>
  <c r="O11" i="8"/>
  <c r="U10" i="8"/>
  <c r="O10" i="8"/>
  <c r="U9" i="8"/>
  <c r="O9" i="8"/>
  <c r="U8" i="8"/>
  <c r="O8" i="8"/>
  <c r="U7" i="8"/>
  <c r="O7" i="8"/>
  <c r="U13" i="7"/>
  <c r="O13" i="7"/>
  <c r="U12" i="7"/>
  <c r="O12" i="7"/>
  <c r="U11" i="7"/>
  <c r="O11" i="7"/>
  <c r="U10" i="7"/>
  <c r="O10" i="7"/>
  <c r="U9" i="7"/>
  <c r="O9" i="7"/>
  <c r="U8" i="7"/>
  <c r="O8" i="7"/>
  <c r="O7" i="7"/>
  <c r="U7" i="7"/>
  <c r="U13" i="6"/>
  <c r="O13" i="6"/>
  <c r="U12" i="6"/>
  <c r="O12" i="6"/>
  <c r="U11" i="6"/>
  <c r="O11" i="6"/>
  <c r="U10" i="6"/>
  <c r="O10" i="6"/>
  <c r="U9" i="6"/>
  <c r="O9" i="6"/>
  <c r="U8" i="6"/>
  <c r="O8" i="6"/>
  <c r="U7" i="6"/>
  <c r="O7" i="6"/>
  <c r="U13" i="5"/>
  <c r="O13" i="5"/>
  <c r="U12" i="5"/>
  <c r="O12" i="5"/>
  <c r="U11" i="5"/>
  <c r="O11" i="5"/>
  <c r="U10" i="5"/>
  <c r="O10" i="5"/>
  <c r="U9" i="5"/>
  <c r="O9" i="5"/>
  <c r="U8" i="5"/>
  <c r="O8" i="5"/>
  <c r="U7" i="5"/>
  <c r="O7" i="5"/>
  <c r="U13" i="4"/>
  <c r="O9" i="4"/>
  <c r="O11" i="4"/>
  <c r="O10" i="4"/>
  <c r="O13" i="4"/>
  <c r="U12" i="4"/>
  <c r="O12" i="4"/>
  <c r="U11" i="4"/>
  <c r="O8" i="4"/>
  <c r="U10" i="4"/>
  <c r="O7" i="4"/>
  <c r="U9" i="4"/>
  <c r="U8" i="4"/>
  <c r="U7" i="4"/>
  <c r="Q12" i="2"/>
  <c r="O13" i="2"/>
  <c r="O8" i="2"/>
  <c r="U8" i="2"/>
  <c r="O7" i="2"/>
  <c r="U9" i="2"/>
  <c r="O12" i="2"/>
  <c r="U10" i="2"/>
  <c r="O11" i="2"/>
  <c r="U11" i="2"/>
  <c r="U12" i="2"/>
  <c r="O9" i="2"/>
  <c r="U13" i="2"/>
  <c r="U7" i="2"/>
  <c r="O10" i="2"/>
  <c r="K11" i="6" a="1"/>
  <c r="K11" i="6"/>
  <c r="C12" i="3"/>
  <c r="Q10" i="6"/>
  <c r="Q7" i="2"/>
  <c r="C6" i="3"/>
  <c r="Q12" i="6"/>
  <c r="K6" i="6" a="1"/>
  <c r="K6" i="6"/>
  <c r="K7" i="6" s="1" a="1"/>
  <c r="K7" i="6" s="1"/>
  <c r="J6" i="6" a="1"/>
  <c r="J6" i="6" s="1"/>
  <c r="J7" i="6" s="1" a="1"/>
  <c r="J7" i="6" s="1"/>
  <c r="Q10" i="2"/>
  <c r="C9" i="3"/>
  <c r="Q13" i="6"/>
  <c r="C11" i="3"/>
  <c r="Q13" i="2"/>
  <c r="Q11" i="2"/>
  <c r="C10" i="3"/>
  <c r="Q9" i="6"/>
  <c r="K6" i="2" a="1"/>
  <c r="K6" i="2"/>
  <c r="K11" i="2" a="1"/>
  <c r="K11" i="2"/>
  <c r="K6" i="4" a="1"/>
  <c r="K6" i="4"/>
  <c r="K11" i="4" a="1"/>
  <c r="K11" i="4"/>
  <c r="K12" i="4" s="1" a="1"/>
  <c r="K12" i="4" s="1"/>
  <c r="K13" i="4" s="1" a="1"/>
  <c r="K13" i="4" s="1"/>
  <c r="F8" i="1"/>
  <c r="F7" i="1"/>
  <c r="F63" i="1"/>
  <c r="F13" i="1"/>
  <c r="F10" i="1"/>
  <c r="F6" i="1"/>
  <c r="F30" i="1"/>
  <c r="F20" i="1"/>
  <c r="F48" i="1"/>
  <c r="F18" i="1"/>
  <c r="F41" i="1"/>
  <c r="F26" i="1"/>
  <c r="F55" i="1"/>
  <c r="F31" i="1"/>
  <c r="F21" i="1"/>
  <c r="F46" i="1"/>
  <c r="F61" i="1"/>
  <c r="F34" i="1"/>
  <c r="F45" i="1"/>
  <c r="F47" i="1"/>
  <c r="F27" i="1"/>
  <c r="F52" i="1"/>
  <c r="F43" i="1"/>
  <c r="F14" i="1"/>
  <c r="F70" i="1"/>
  <c r="F38" i="1"/>
  <c r="F74" i="1"/>
  <c r="F76" i="1"/>
  <c r="F78" i="1"/>
  <c r="F79" i="1"/>
  <c r="F81" i="1"/>
  <c r="F36" i="1"/>
  <c r="F5" i="1"/>
  <c r="F17" i="1"/>
  <c r="F35" i="1"/>
  <c r="F24" i="1"/>
  <c r="F22" i="1"/>
  <c r="F57" i="1"/>
  <c r="F11" i="1"/>
  <c r="F44" i="1"/>
  <c r="F51" i="1"/>
  <c r="F37" i="1"/>
  <c r="F64" i="1"/>
  <c r="F65" i="1"/>
  <c r="F71" i="1"/>
  <c r="F25" i="1"/>
  <c r="F9" i="1"/>
  <c r="F66" i="1"/>
  <c r="F67" i="1"/>
  <c r="F12" i="1"/>
  <c r="F72" i="1"/>
  <c r="F75" i="1"/>
  <c r="F77" i="1"/>
  <c r="F29" i="1"/>
  <c r="F80" i="1"/>
  <c r="F62" i="1"/>
  <c r="F16" i="1"/>
  <c r="F15" i="1"/>
  <c r="F28" i="1"/>
  <c r="F32" i="1"/>
  <c r="F19" i="1"/>
  <c r="F23" i="1"/>
  <c r="F49" i="1"/>
  <c r="F33" i="1"/>
  <c r="F39" i="1"/>
  <c r="F68" i="1"/>
  <c r="F69" i="1"/>
  <c r="F73" i="1"/>
  <c r="P13" i="4"/>
  <c r="P9" i="4"/>
  <c r="Q9" i="4" s="1"/>
  <c r="P10" i="4"/>
  <c r="Q11" i="6"/>
  <c r="H5" i="1"/>
  <c r="H16" i="1"/>
  <c r="H17" i="1"/>
  <c r="H35" i="1"/>
  <c r="H15" i="1"/>
  <c r="H24" i="1"/>
  <c r="H28" i="1"/>
  <c r="H22" i="1"/>
  <c r="H32" i="1"/>
  <c r="H57" i="1"/>
  <c r="H19" i="1"/>
  <c r="H11" i="1"/>
  <c r="H23" i="1"/>
  <c r="H44" i="1"/>
  <c r="H49" i="1"/>
  <c r="H33" i="1"/>
  <c r="H37" i="1"/>
  <c r="H39" i="1"/>
  <c r="H64" i="1"/>
  <c r="H66" i="1"/>
  <c r="H68" i="1"/>
  <c r="H70" i="1"/>
  <c r="H71" i="1"/>
  <c r="H12" i="1"/>
  <c r="H73" i="1"/>
  <c r="H7" i="1"/>
  <c r="H63" i="1"/>
  <c r="H13" i="1"/>
  <c r="H20" i="1"/>
  <c r="H18" i="1"/>
  <c r="H26" i="1"/>
  <c r="H31" i="1"/>
  <c r="H46" i="1"/>
  <c r="H34" i="1"/>
  <c r="H47" i="1"/>
  <c r="H52" i="1"/>
  <c r="H69" i="1"/>
  <c r="H14" i="1"/>
  <c r="H38" i="1"/>
  <c r="H74" i="1"/>
  <c r="H76" i="1"/>
  <c r="H78" i="1"/>
  <c r="H79" i="1"/>
  <c r="H81" i="1"/>
  <c r="H36" i="1"/>
  <c r="H10" i="1"/>
  <c r="H30" i="1"/>
  <c r="H48" i="1"/>
  <c r="H41" i="1"/>
  <c r="H55" i="1"/>
  <c r="H21" i="1"/>
  <c r="H61" i="1"/>
  <c r="H45" i="1"/>
  <c r="H27" i="1"/>
  <c r="H43" i="1"/>
  <c r="H65" i="1"/>
  <c r="H9" i="1"/>
  <c r="H67" i="1"/>
  <c r="H72" i="1"/>
  <c r="H75" i="1"/>
  <c r="H77" i="1"/>
  <c r="H29" i="1"/>
  <c r="H80" i="1"/>
  <c r="H62" i="1"/>
  <c r="E63" i="1"/>
  <c r="E13" i="1"/>
  <c r="E10" i="1"/>
  <c r="E6" i="1"/>
  <c r="E30" i="1"/>
  <c r="E20" i="1"/>
  <c r="E48" i="1"/>
  <c r="E18" i="1"/>
  <c r="E41" i="1"/>
  <c r="E26" i="1"/>
  <c r="E55" i="1"/>
  <c r="E31" i="1"/>
  <c r="E21" i="1"/>
  <c r="E46" i="1"/>
  <c r="E61" i="1"/>
  <c r="E34" i="1"/>
  <c r="E45" i="1"/>
  <c r="E47" i="1"/>
  <c r="E27" i="1"/>
  <c r="E52" i="1"/>
  <c r="E43" i="1"/>
  <c r="E65" i="1"/>
  <c r="E67" i="1"/>
  <c r="E69" i="1"/>
  <c r="E38" i="1"/>
  <c r="E25" i="1"/>
  <c r="E72" i="1"/>
  <c r="E9" i="1"/>
  <c r="E14" i="1"/>
  <c r="E5" i="1"/>
  <c r="E17" i="1"/>
  <c r="E35" i="1"/>
  <c r="E24" i="1"/>
  <c r="E22" i="1"/>
  <c r="E57" i="1"/>
  <c r="E11" i="1"/>
  <c r="E44" i="1"/>
  <c r="E51" i="1"/>
  <c r="E37" i="1"/>
  <c r="E64" i="1"/>
  <c r="E71" i="1"/>
  <c r="E8" i="1"/>
  <c r="E66" i="1"/>
  <c r="E12" i="1"/>
  <c r="E75" i="1"/>
  <c r="E77" i="1"/>
  <c r="E29" i="1"/>
  <c r="E80" i="1"/>
  <c r="E62" i="1"/>
  <c r="E16" i="1"/>
  <c r="E15" i="1"/>
  <c r="E28" i="1"/>
  <c r="E32" i="1"/>
  <c r="E19" i="1"/>
  <c r="E23" i="1"/>
  <c r="E49" i="1"/>
  <c r="E33" i="1"/>
  <c r="E39" i="1"/>
  <c r="E68" i="1"/>
  <c r="E73" i="1"/>
  <c r="E7" i="1"/>
  <c r="E70" i="1"/>
  <c r="E74" i="1"/>
  <c r="E76" i="1"/>
  <c r="E78" i="1"/>
  <c r="E79" i="1"/>
  <c r="E81" i="1"/>
  <c r="E36" i="1"/>
  <c r="P12" i="4"/>
  <c r="P8" i="4"/>
  <c r="Q12" i="4" s="1"/>
  <c r="P13" i="5"/>
  <c r="E11" i="3"/>
  <c r="P8" i="5"/>
  <c r="P11" i="5"/>
  <c r="E10" i="3" s="1"/>
  <c r="P9" i="5"/>
  <c r="Q10" i="5" s="1"/>
  <c r="P7" i="5"/>
  <c r="E6" i="3"/>
  <c r="P10" i="5"/>
  <c r="E9" i="3"/>
  <c r="P12" i="5"/>
  <c r="J11" i="5" a="1"/>
  <c r="J11" i="5" s="1"/>
  <c r="K11" i="5" a="1"/>
  <c r="K11" i="5" s="1"/>
  <c r="J6" i="5" a="1"/>
  <c r="J6" i="5" s="1"/>
  <c r="J7" i="5" s="1" a="1"/>
  <c r="J7" i="5" s="1"/>
  <c r="K6" i="5" a="1"/>
  <c r="K6" i="5" s="1"/>
  <c r="K7" i="5" s="1" a="1"/>
  <c r="K7" i="5" s="1"/>
  <c r="E7" i="3"/>
  <c r="G14" i="1"/>
  <c r="G57" i="1"/>
  <c r="G37" i="1"/>
  <c r="G73" i="1"/>
  <c r="G17" i="1"/>
  <c r="G41" i="1"/>
  <c r="G45" i="1"/>
  <c r="G38" i="1"/>
  <c r="G36" i="1"/>
  <c r="G20" i="1"/>
  <c r="G78" i="1"/>
  <c r="G29" i="1"/>
  <c r="G34" i="1"/>
  <c r="G19" i="1"/>
  <c r="G10" i="1"/>
  <c r="G39" i="1"/>
  <c r="G35" i="1"/>
  <c r="G11" i="1"/>
  <c r="G64" i="1"/>
  <c r="G77" i="1"/>
  <c r="G8" i="1"/>
  <c r="G55" i="1"/>
  <c r="G27" i="1"/>
  <c r="G72" i="1"/>
  <c r="G63" i="1"/>
  <c r="G26" i="1"/>
  <c r="G25" i="1"/>
  <c r="G32" i="1"/>
  <c r="G12" i="1"/>
  <c r="G52" i="1"/>
  <c r="G49" i="1"/>
  <c r="G75" i="1"/>
  <c r="G65" i="1"/>
  <c r="G66" i="1"/>
  <c r="G69" i="1"/>
  <c r="G13" i="1"/>
  <c r="G24" i="1"/>
  <c r="G44" i="1"/>
  <c r="G68" i="1"/>
  <c r="G80" i="1"/>
  <c r="G30" i="1"/>
  <c r="G21" i="1"/>
  <c r="G43" i="1"/>
  <c r="G76" i="1"/>
  <c r="G16" i="1"/>
  <c r="G46" i="1"/>
  <c r="G15" i="1"/>
  <c r="G81" i="1"/>
  <c r="G6" i="1"/>
  <c r="G22" i="1"/>
  <c r="G51" i="1"/>
  <c r="G71" i="1"/>
  <c r="G5" i="1"/>
  <c r="G48" i="1"/>
  <c r="G61" i="1"/>
  <c r="G67" i="1"/>
  <c r="G79" i="1"/>
  <c r="G7" i="1"/>
  <c r="G47" i="1"/>
  <c r="G62" i="1"/>
  <c r="G33" i="1"/>
  <c r="G31" i="1"/>
  <c r="G74" i="1"/>
  <c r="G28" i="1"/>
  <c r="G23" i="1"/>
  <c r="G18" i="1"/>
  <c r="G9" i="1"/>
  <c r="G70" i="1"/>
  <c r="D8" i="3"/>
  <c r="D12" i="3"/>
  <c r="T9" i="2"/>
  <c r="S9" i="2"/>
  <c r="D11" i="3"/>
  <c r="Q8" i="4"/>
  <c r="Q7" i="4"/>
  <c r="T10" i="4" s="1"/>
  <c r="W10" i="4" s="1"/>
  <c r="Q10" i="4"/>
  <c r="D9" i="3"/>
  <c r="K12" i="6" a="1"/>
  <c r="K12" i="6" s="1"/>
  <c r="K13" i="6" s="1" a="1"/>
  <c r="K13" i="6" s="1"/>
  <c r="Q13" i="5"/>
  <c r="E12" i="3"/>
  <c r="Q11" i="5"/>
  <c r="E8" i="3"/>
  <c r="Q9" i="5"/>
  <c r="Q8" i="5"/>
  <c r="S8" i="4"/>
  <c r="K7" i="2" a="1"/>
  <c r="K7" i="2" s="1"/>
  <c r="I11" i="1"/>
  <c r="K105" i="1" l="1"/>
  <c r="K87" i="1"/>
  <c r="K85" i="1"/>
  <c r="J11" i="9" a="1"/>
  <c r="J11" i="9" s="1"/>
  <c r="K79" i="1"/>
  <c r="P13" i="9"/>
  <c r="I11" i="3" s="1"/>
  <c r="K7" i="9" a="1"/>
  <c r="K7" i="9" s="1"/>
  <c r="K57" i="1"/>
  <c r="K46" i="1"/>
  <c r="K10" i="1"/>
  <c r="K13" i="1"/>
  <c r="K29" i="1"/>
  <c r="K23" i="1"/>
  <c r="K9" i="1"/>
  <c r="K20" i="1"/>
  <c r="K18" i="1"/>
  <c r="K62" i="1"/>
  <c r="K33" i="1"/>
  <c r="K76" i="1"/>
  <c r="K31" i="1"/>
  <c r="K44" i="1"/>
  <c r="K14" i="1"/>
  <c r="K32" i="1"/>
  <c r="K52" i="1"/>
  <c r="K38" i="1"/>
  <c r="K24" i="1"/>
  <c r="K66" i="1"/>
  <c r="K25" i="1"/>
  <c r="K26" i="1"/>
  <c r="K75" i="1"/>
  <c r="K15" i="1"/>
  <c r="K47" i="1"/>
  <c r="K63" i="1"/>
  <c r="K37" i="1"/>
  <c r="K17" i="1"/>
  <c r="K69" i="1"/>
  <c r="K36" i="1"/>
  <c r="K65" i="1"/>
  <c r="K34" i="1"/>
  <c r="K70" i="1"/>
  <c r="K11" i="1"/>
  <c r="K35" i="1"/>
  <c r="K80" i="1"/>
  <c r="K73" i="1"/>
  <c r="K72" i="1"/>
  <c r="K39" i="1"/>
  <c r="K19" i="1"/>
  <c r="K16" i="1"/>
  <c r="K78" i="1"/>
  <c r="K71" i="1"/>
  <c r="K43" i="1"/>
  <c r="K45" i="1"/>
  <c r="K21" i="1"/>
  <c r="K41" i="1"/>
  <c r="K30" i="1"/>
  <c r="K8" i="1"/>
  <c r="P10" i="9"/>
  <c r="I9" i="3" s="1"/>
  <c r="K51" i="1"/>
  <c r="K22" i="1"/>
  <c r="K5" i="1"/>
  <c r="K77" i="1"/>
  <c r="K68" i="1"/>
  <c r="K67" i="1"/>
  <c r="K49" i="1"/>
  <c r="K28" i="1"/>
  <c r="K81" i="1"/>
  <c r="K74" i="1"/>
  <c r="K64" i="1"/>
  <c r="K27" i="1"/>
  <c r="K61" i="1"/>
  <c r="K55" i="1"/>
  <c r="K48" i="1"/>
  <c r="P8" i="9"/>
  <c r="I7" i="3" s="1"/>
  <c r="J6" i="9" a="1"/>
  <c r="J6" i="9" s="1"/>
  <c r="J7" i="9" s="1" a="1"/>
  <c r="J7" i="9" s="1"/>
  <c r="P12" i="9"/>
  <c r="P9" i="9"/>
  <c r="K92" i="1"/>
  <c r="K50" i="1"/>
  <c r="K109" i="1"/>
  <c r="K121" i="1"/>
  <c r="K60" i="1"/>
  <c r="K54" i="1"/>
  <c r="K56" i="1"/>
  <c r="K102" i="1"/>
  <c r="K40" i="1"/>
  <c r="K59" i="1"/>
  <c r="K42" i="1"/>
  <c r="K58" i="1"/>
  <c r="K53" i="1"/>
  <c r="K112" i="1"/>
  <c r="K97" i="1"/>
  <c r="K114" i="1"/>
  <c r="P7" i="9"/>
  <c r="P11" i="9"/>
  <c r="J23" i="1"/>
  <c r="J40" i="1"/>
  <c r="J121" i="1"/>
  <c r="J50" i="1"/>
  <c r="J58" i="1"/>
  <c r="J53" i="1"/>
  <c r="J56" i="1"/>
  <c r="J112" i="1"/>
  <c r="J42" i="1"/>
  <c r="J54" i="1"/>
  <c r="J59" i="1"/>
  <c r="J60" i="1"/>
  <c r="J109" i="1"/>
  <c r="J102" i="1"/>
  <c r="P8" i="8"/>
  <c r="H7" i="3" s="1"/>
  <c r="J7" i="8" a="1"/>
  <c r="J7" i="8" s="1"/>
  <c r="K8" i="8" a="1"/>
  <c r="K8" i="8" s="1"/>
  <c r="J27" i="1"/>
  <c r="J68" i="1"/>
  <c r="J12" i="8" a="1"/>
  <c r="J12" i="8" s="1"/>
  <c r="J13" i="8" s="1" a="1"/>
  <c r="J13" i="8" s="1"/>
  <c r="J14" i="8" s="1" a="1"/>
  <c r="J14" i="8" s="1"/>
  <c r="P9" i="8"/>
  <c r="H12" i="3" s="1"/>
  <c r="P10" i="8"/>
  <c r="H9" i="3" s="1"/>
  <c r="J67" i="1"/>
  <c r="J55" i="1"/>
  <c r="J37" i="1"/>
  <c r="J19" i="1"/>
  <c r="J57" i="1"/>
  <c r="J7" i="1"/>
  <c r="L7" i="1" s="1"/>
  <c r="J13" i="1"/>
  <c r="J48" i="1"/>
  <c r="J29" i="1"/>
  <c r="J79" i="1"/>
  <c r="J35" i="1"/>
  <c r="J6" i="1"/>
  <c r="J9" i="1"/>
  <c r="J61" i="1"/>
  <c r="K7" i="8" a="1"/>
  <c r="K7" i="8" s="1"/>
  <c r="J10" i="1"/>
  <c r="P12" i="8"/>
  <c r="H8" i="3" s="1"/>
  <c r="J71" i="1"/>
  <c r="J17" i="1"/>
  <c r="J39" i="1"/>
  <c r="J72" i="1"/>
  <c r="P13" i="8"/>
  <c r="J64" i="1"/>
  <c r="J5" i="1"/>
  <c r="J47" i="1"/>
  <c r="J20" i="1"/>
  <c r="J36" i="1"/>
  <c r="J44" i="1"/>
  <c r="J75" i="1"/>
  <c r="J49" i="1"/>
  <c r="J38" i="1"/>
  <c r="J43" i="1"/>
  <c r="J45" i="1"/>
  <c r="J21" i="1"/>
  <c r="J41" i="1"/>
  <c r="J30" i="1"/>
  <c r="J89" i="1"/>
  <c r="P7" i="8"/>
  <c r="J78" i="1"/>
  <c r="J51" i="1"/>
  <c r="J22" i="1"/>
  <c r="J77" i="1"/>
  <c r="J33" i="1"/>
  <c r="J32" i="1"/>
  <c r="J16" i="1"/>
  <c r="J65" i="1"/>
  <c r="J46" i="1"/>
  <c r="J26" i="1"/>
  <c r="J63" i="1"/>
  <c r="J76" i="1"/>
  <c r="J8" i="1"/>
  <c r="J24" i="1"/>
  <c r="J62" i="1"/>
  <c r="J12" i="1"/>
  <c r="J28" i="1"/>
  <c r="J14" i="1"/>
  <c r="J81" i="1"/>
  <c r="J74" i="1"/>
  <c r="J70" i="1"/>
  <c r="J11" i="1"/>
  <c r="M11" i="1" s="1"/>
  <c r="J80" i="1"/>
  <c r="J73" i="1"/>
  <c r="J66" i="1"/>
  <c r="J15" i="1"/>
  <c r="J69" i="1"/>
  <c r="J52" i="1"/>
  <c r="J34" i="1"/>
  <c r="J31" i="1"/>
  <c r="J18" i="1"/>
  <c r="J92" i="1"/>
  <c r="J97" i="1"/>
  <c r="J114" i="1"/>
  <c r="P11" i="8"/>
  <c r="J12" i="5" a="1"/>
  <c r="J12" i="5" s="1"/>
  <c r="J13" i="5" s="1" a="1"/>
  <c r="J13" i="5" s="1"/>
  <c r="J12" i="4" a="1"/>
  <c r="J12" i="4" s="1"/>
  <c r="J13" i="4" s="1" a="1"/>
  <c r="J13" i="4" s="1"/>
  <c r="J12" i="6" a="1"/>
  <c r="J12" i="6" s="1"/>
  <c r="J13" i="6" a="1"/>
  <c r="J13" i="6" s="1"/>
  <c r="J13" i="2" a="1"/>
  <c r="J13" i="2" s="1"/>
  <c r="J7" i="4" a="1"/>
  <c r="J7" i="4" s="1"/>
  <c r="K7" i="4" a="1"/>
  <c r="K7" i="4" s="1"/>
  <c r="K12" i="9" a="1"/>
  <c r="K12" i="9" s="1"/>
  <c r="K13" i="9" s="1" a="1"/>
  <c r="K13" i="9" s="1"/>
  <c r="K12" i="5" a="1"/>
  <c r="K12" i="5" s="1"/>
  <c r="K13" i="5" s="1" a="1"/>
  <c r="K13" i="5" s="1"/>
  <c r="T7" i="4"/>
  <c r="W7" i="4" s="1"/>
  <c r="S13" i="4"/>
  <c r="J12" i="9" a="1"/>
  <c r="J12" i="9" s="1"/>
  <c r="J13" i="9" s="1" a="1"/>
  <c r="J13" i="9" s="1"/>
  <c r="K13" i="8" a="1"/>
  <c r="K13" i="8" s="1"/>
  <c r="K14" i="8" s="1" a="1"/>
  <c r="K14" i="8" s="1"/>
  <c r="J12" i="2" a="1"/>
  <c r="J12" i="2" s="1"/>
  <c r="K12" i="2" a="1"/>
  <c r="K12" i="2" s="1"/>
  <c r="K13" i="2" s="1" a="1"/>
  <c r="K13" i="2" s="1"/>
  <c r="S9" i="4"/>
  <c r="T13" i="4"/>
  <c r="W13" i="4" s="1"/>
  <c r="T8" i="4"/>
  <c r="W8" i="4" s="1"/>
  <c r="Q7" i="5"/>
  <c r="Q12" i="5"/>
  <c r="Q11" i="4"/>
  <c r="S11" i="4" s="1"/>
  <c r="Q13" i="4"/>
  <c r="Q8" i="6"/>
  <c r="F7" i="3"/>
  <c r="S10" i="4"/>
  <c r="S7" i="4"/>
  <c r="D7" i="3"/>
  <c r="K14" i="4" a="1"/>
  <c r="K14" i="4" s="1"/>
  <c r="Q8" i="2"/>
  <c r="C7" i="3"/>
  <c r="Q7" i="6"/>
  <c r="F6" i="3"/>
  <c r="K130" i="1"/>
  <c r="F130" i="1"/>
  <c r="H106" i="1"/>
  <c r="K129" i="1"/>
  <c r="F129" i="1"/>
  <c r="H116" i="1"/>
  <c r="K128" i="1"/>
  <c r="F128" i="1"/>
  <c r="H113" i="1"/>
  <c r="K104" i="1"/>
  <c r="F104" i="1"/>
  <c r="H127" i="1"/>
  <c r="K118" i="1"/>
  <c r="F118" i="1"/>
  <c r="H126" i="1"/>
  <c r="K86" i="1"/>
  <c r="F86" i="1"/>
  <c r="H125" i="1"/>
  <c r="K124" i="1"/>
  <c r="F124" i="1"/>
  <c r="H123" i="1"/>
  <c r="K107" i="1"/>
  <c r="F107" i="1"/>
  <c r="H122" i="1"/>
  <c r="K111" i="1"/>
  <c r="F111" i="1"/>
  <c r="H110" i="1"/>
  <c r="K120" i="1"/>
  <c r="F120" i="1"/>
  <c r="H108" i="1"/>
  <c r="K119" i="1"/>
  <c r="F119" i="1"/>
  <c r="H117" i="1"/>
  <c r="K95" i="1"/>
  <c r="F95" i="1"/>
  <c r="H103" i="1"/>
  <c r="F105" i="1"/>
  <c r="H115" i="1"/>
  <c r="K98" i="1"/>
  <c r="F98" i="1"/>
  <c r="H93" i="1"/>
  <c r="K94" i="1"/>
  <c r="F94" i="1"/>
  <c r="H101" i="1"/>
  <c r="K100" i="1"/>
  <c r="F100" i="1"/>
  <c r="H91" i="1"/>
  <c r="F87" i="1"/>
  <c r="H89" i="1"/>
  <c r="K96" i="1"/>
  <c r="F96" i="1"/>
  <c r="H85" i="1"/>
  <c r="K88" i="1"/>
  <c r="F88" i="1"/>
  <c r="H99" i="1"/>
  <c r="K90" i="1"/>
  <c r="F90" i="1"/>
  <c r="H92" i="1"/>
  <c r="J130" i="1"/>
  <c r="E130" i="1"/>
  <c r="G106" i="1"/>
  <c r="J129" i="1"/>
  <c r="E129" i="1"/>
  <c r="G116" i="1"/>
  <c r="J128" i="1"/>
  <c r="E128" i="1"/>
  <c r="G113" i="1"/>
  <c r="J104" i="1"/>
  <c r="E104" i="1"/>
  <c r="G127" i="1"/>
  <c r="J118" i="1"/>
  <c r="E118" i="1"/>
  <c r="G126" i="1"/>
  <c r="J86" i="1"/>
  <c r="E86" i="1"/>
  <c r="G125" i="1"/>
  <c r="J124" i="1"/>
  <c r="E124" i="1"/>
  <c r="G123" i="1"/>
  <c r="J107" i="1"/>
  <c r="E107" i="1"/>
  <c r="G122" i="1"/>
  <c r="J111" i="1"/>
  <c r="E111" i="1"/>
  <c r="G110" i="1"/>
  <c r="J120" i="1"/>
  <c r="E120" i="1"/>
  <c r="G108" i="1"/>
  <c r="J119" i="1"/>
  <c r="E119" i="1"/>
  <c r="G117" i="1"/>
  <c r="J95" i="1"/>
  <c r="E95" i="1"/>
  <c r="G103" i="1"/>
  <c r="J105" i="1"/>
  <c r="E105" i="1"/>
  <c r="G115" i="1"/>
  <c r="J98" i="1"/>
  <c r="E98" i="1"/>
  <c r="G93" i="1"/>
  <c r="J94" i="1"/>
  <c r="E94" i="1"/>
  <c r="G101" i="1"/>
  <c r="J100" i="1"/>
  <c r="E100" i="1"/>
  <c r="G91" i="1"/>
  <c r="J87" i="1"/>
  <c r="E87" i="1"/>
  <c r="G89" i="1"/>
  <c r="J96" i="1"/>
  <c r="E96" i="1"/>
  <c r="G85" i="1"/>
  <c r="J88" i="1"/>
  <c r="E88" i="1"/>
  <c r="G99" i="1"/>
  <c r="J90" i="1"/>
  <c r="E90" i="1"/>
  <c r="G92" i="1"/>
  <c r="H130" i="1"/>
  <c r="K106" i="1"/>
  <c r="F106" i="1"/>
  <c r="H129" i="1"/>
  <c r="K116" i="1"/>
  <c r="F116" i="1"/>
  <c r="H128" i="1"/>
  <c r="K113" i="1"/>
  <c r="F113" i="1"/>
  <c r="H104" i="1"/>
  <c r="K127" i="1"/>
  <c r="F127" i="1"/>
  <c r="H118" i="1"/>
  <c r="K126" i="1"/>
  <c r="F126" i="1"/>
  <c r="H86" i="1"/>
  <c r="K125" i="1"/>
  <c r="F125" i="1"/>
  <c r="H124" i="1"/>
  <c r="K123" i="1"/>
  <c r="F123" i="1"/>
  <c r="H107" i="1"/>
  <c r="K122" i="1"/>
  <c r="F122" i="1"/>
  <c r="H111" i="1"/>
  <c r="K110" i="1"/>
  <c r="F110" i="1"/>
  <c r="H120" i="1"/>
  <c r="K108" i="1"/>
  <c r="F108" i="1"/>
  <c r="H119" i="1"/>
  <c r="K117" i="1"/>
  <c r="F117" i="1"/>
  <c r="H95" i="1"/>
  <c r="K103" i="1"/>
  <c r="F103" i="1"/>
  <c r="H105" i="1"/>
  <c r="K115" i="1"/>
  <c r="F115" i="1"/>
  <c r="H98" i="1"/>
  <c r="K93" i="1"/>
  <c r="F93" i="1"/>
  <c r="H94" i="1"/>
  <c r="F101" i="1"/>
  <c r="H100" i="1"/>
  <c r="K91" i="1"/>
  <c r="F91" i="1"/>
  <c r="H87" i="1"/>
  <c r="K89" i="1"/>
  <c r="F89" i="1"/>
  <c r="H96" i="1"/>
  <c r="F85" i="1"/>
  <c r="H88" i="1"/>
  <c r="K99" i="1"/>
  <c r="F99" i="1"/>
  <c r="G130" i="1"/>
  <c r="J106" i="1"/>
  <c r="E106" i="1"/>
  <c r="G129" i="1"/>
  <c r="J116" i="1"/>
  <c r="E116" i="1"/>
  <c r="G128" i="1"/>
  <c r="J113" i="1"/>
  <c r="E113" i="1"/>
  <c r="G104" i="1"/>
  <c r="J127" i="1"/>
  <c r="E127" i="1"/>
  <c r="G118" i="1"/>
  <c r="J126" i="1"/>
  <c r="E126" i="1"/>
  <c r="G86" i="1"/>
  <c r="J125" i="1"/>
  <c r="E125" i="1"/>
  <c r="G124" i="1"/>
  <c r="J123" i="1"/>
  <c r="E123" i="1"/>
  <c r="G107" i="1"/>
  <c r="J122" i="1"/>
  <c r="E122" i="1"/>
  <c r="G111" i="1"/>
  <c r="J110" i="1"/>
  <c r="E110" i="1"/>
  <c r="G120" i="1"/>
  <c r="J108" i="1"/>
  <c r="E108" i="1"/>
  <c r="G119" i="1"/>
  <c r="J117" i="1"/>
  <c r="E117" i="1"/>
  <c r="G95" i="1"/>
  <c r="J103" i="1"/>
  <c r="E103" i="1"/>
  <c r="G105" i="1"/>
  <c r="J115" i="1"/>
  <c r="E115" i="1"/>
  <c r="G98" i="1"/>
  <c r="E93" i="1"/>
  <c r="G94" i="1"/>
  <c r="J101" i="1"/>
  <c r="E101" i="1"/>
  <c r="G100" i="1"/>
  <c r="J91" i="1"/>
  <c r="E91" i="1"/>
  <c r="G87" i="1"/>
  <c r="G96" i="1"/>
  <c r="J85" i="1"/>
  <c r="E85" i="1"/>
  <c r="G88" i="1"/>
  <c r="J99" i="1"/>
  <c r="E99" i="1"/>
  <c r="P8" i="7"/>
  <c r="G7" i="3" s="1"/>
  <c r="K6" i="7" a="1"/>
  <c r="K6" i="7" s="1"/>
  <c r="K7" i="7" s="1" a="1"/>
  <c r="K7" i="7" s="1"/>
  <c r="P12" i="7"/>
  <c r="G8" i="3" s="1"/>
  <c r="P9" i="7"/>
  <c r="G12" i="3" s="1"/>
  <c r="P13" i="7"/>
  <c r="G11" i="3" s="1"/>
  <c r="P11" i="7"/>
  <c r="G10" i="3" s="1"/>
  <c r="P7" i="7"/>
  <c r="G6" i="3" s="1"/>
  <c r="P10" i="7"/>
  <c r="J7" i="7" a="1"/>
  <c r="J7" i="7" s="1"/>
  <c r="K11" i="7" a="1"/>
  <c r="K11" i="7" s="1"/>
  <c r="K12" i="7" s="1" a="1"/>
  <c r="K12" i="7" s="1"/>
  <c r="K13" i="7" s="1" a="1"/>
  <c r="K13" i="7" s="1"/>
  <c r="J11" i="7" a="1"/>
  <c r="J11" i="7" s="1"/>
  <c r="I32" i="1"/>
  <c r="I12" i="1"/>
  <c r="I41" i="1"/>
  <c r="I76" i="1"/>
  <c r="I68" i="1"/>
  <c r="I28" i="1"/>
  <c r="I48" i="1"/>
  <c r="I62" i="1"/>
  <c r="I44" i="1"/>
  <c r="I21" i="1"/>
  <c r="I70" i="1"/>
  <c r="I73" i="1"/>
  <c r="I5" i="1"/>
  <c r="I55" i="1"/>
  <c r="I69" i="1"/>
  <c r="I72" i="1"/>
  <c r="I90" i="1"/>
  <c r="I35" i="1"/>
  <c r="I6" i="1"/>
  <c r="I52" i="1"/>
  <c r="I64" i="1"/>
  <c r="I39" i="1"/>
  <c r="I17" i="1"/>
  <c r="I81" i="1"/>
  <c r="I75" i="1"/>
  <c r="I57" i="1"/>
  <c r="I43" i="1"/>
  <c r="I71" i="1"/>
  <c r="I80" i="1"/>
  <c r="I15" i="1"/>
  <c r="I27" i="1"/>
  <c r="I38" i="1"/>
  <c r="I29" i="1"/>
  <c r="I22" i="1"/>
  <c r="I107" i="1"/>
  <c r="I100" i="1"/>
  <c r="I113" i="1"/>
  <c r="I117" i="1"/>
  <c r="I88" i="1"/>
  <c r="I124" i="1"/>
  <c r="I94" i="1"/>
  <c r="I127" i="1"/>
  <c r="I103" i="1"/>
  <c r="I129" i="1"/>
  <c r="I120" i="1"/>
  <c r="I96" i="1"/>
  <c r="I126" i="1"/>
  <c r="I115" i="1"/>
  <c r="I130" i="1"/>
  <c r="I111" i="1"/>
  <c r="I87" i="1"/>
  <c r="I125" i="1"/>
  <c r="I93" i="1"/>
  <c r="I26" i="1"/>
  <c r="I9" i="1"/>
  <c r="I45" i="1"/>
  <c r="I13" i="1"/>
  <c r="I49" i="1"/>
  <c r="I65" i="1"/>
  <c r="I74" i="1"/>
  <c r="I67" i="1"/>
  <c r="I24" i="1"/>
  <c r="I79" i="1"/>
  <c r="I18" i="1"/>
  <c r="I23" i="1"/>
  <c r="I78" i="1"/>
  <c r="I20" i="1"/>
  <c r="I51" i="1"/>
  <c r="I31" i="1"/>
  <c r="I14" i="1"/>
  <c r="I8" i="1"/>
  <c r="I36" i="1"/>
  <c r="I77" i="1"/>
  <c r="I19" i="1"/>
  <c r="I61" i="1"/>
  <c r="I47" i="1"/>
  <c r="I37" i="1"/>
  <c r="I16" i="1"/>
  <c r="I30" i="1"/>
  <c r="I34" i="1"/>
  <c r="I33" i="1"/>
  <c r="I66" i="1"/>
  <c r="I10" i="1"/>
  <c r="I63" i="1"/>
  <c r="I104" i="1"/>
  <c r="I95" i="1"/>
  <c r="I99" i="1"/>
  <c r="I123" i="1"/>
  <c r="I101" i="1"/>
  <c r="I128" i="1"/>
  <c r="I119" i="1"/>
  <c r="I92" i="1"/>
  <c r="I122" i="1"/>
  <c r="I91" i="1"/>
  <c r="I86" i="1"/>
  <c r="I98" i="1"/>
  <c r="I106" i="1"/>
  <c r="I110" i="1"/>
  <c r="I89" i="1"/>
  <c r="I118" i="1"/>
  <c r="I105" i="1"/>
  <c r="I116" i="1"/>
  <c r="I108" i="1"/>
  <c r="J7" i="3" l="1"/>
  <c r="M109" i="1"/>
  <c r="I6" i="3"/>
  <c r="Q13" i="9"/>
  <c r="Q7" i="9"/>
  <c r="Q10" i="9"/>
  <c r="Q8" i="9"/>
  <c r="I12" i="3"/>
  <c r="J12" i="3" s="1"/>
  <c r="Q9" i="9"/>
  <c r="I10" i="3"/>
  <c r="Q11" i="9"/>
  <c r="I8" i="3"/>
  <c r="J8" i="3" s="1"/>
  <c r="Q12" i="9"/>
  <c r="N42" i="1"/>
  <c r="M42" i="1"/>
  <c r="L42" i="1"/>
  <c r="M112" i="1"/>
  <c r="N112" i="1"/>
  <c r="L112" i="1"/>
  <c r="N53" i="1"/>
  <c r="L53" i="1"/>
  <c r="M53" i="1"/>
  <c r="M58" i="1"/>
  <c r="L58" i="1"/>
  <c r="N58" i="1"/>
  <c r="N60" i="1"/>
  <c r="M60" i="1"/>
  <c r="L60" i="1"/>
  <c r="M50" i="1"/>
  <c r="N50" i="1"/>
  <c r="L50" i="1"/>
  <c r="M56" i="1"/>
  <c r="L56" i="1"/>
  <c r="N56" i="1"/>
  <c r="N59" i="1"/>
  <c r="L59" i="1"/>
  <c r="M59" i="1"/>
  <c r="L121" i="1"/>
  <c r="M121" i="1"/>
  <c r="N121" i="1"/>
  <c r="L54" i="1"/>
  <c r="M54" i="1"/>
  <c r="N54" i="1"/>
  <c r="L40" i="1"/>
  <c r="M40" i="1"/>
  <c r="N40" i="1"/>
  <c r="L109" i="1"/>
  <c r="N109" i="1"/>
  <c r="J8" i="8" a="1"/>
  <c r="J8" i="8" s="1"/>
  <c r="M102" i="1"/>
  <c r="L102" i="1"/>
  <c r="N102" i="1"/>
  <c r="M7" i="1"/>
  <c r="Q7" i="8"/>
  <c r="Q9" i="8"/>
  <c r="N7" i="1"/>
  <c r="L11" i="1"/>
  <c r="N11" i="1"/>
  <c r="L114" i="1"/>
  <c r="N114" i="1"/>
  <c r="M114" i="1"/>
  <c r="L97" i="1"/>
  <c r="N97" i="1"/>
  <c r="M97" i="1"/>
  <c r="H6" i="3"/>
  <c r="Q12" i="8"/>
  <c r="H11" i="3"/>
  <c r="J11" i="3" s="1"/>
  <c r="Q13" i="8"/>
  <c r="H10" i="3"/>
  <c r="Q11" i="8"/>
  <c r="Q10" i="8"/>
  <c r="Q8" i="8"/>
  <c r="S9" i="5"/>
  <c r="S8" i="5"/>
  <c r="S13" i="5"/>
  <c r="S7" i="5"/>
  <c r="T10" i="5"/>
  <c r="T9" i="5"/>
  <c r="T12" i="5"/>
  <c r="T7" i="5"/>
  <c r="T13" i="5"/>
  <c r="S10" i="5"/>
  <c r="T11" i="5"/>
  <c r="S11" i="5"/>
  <c r="T8" i="5"/>
  <c r="S12" i="5"/>
  <c r="J14" i="4" a="1"/>
  <c r="J14" i="4" s="1"/>
  <c r="N85" i="1"/>
  <c r="L85" i="1"/>
  <c r="M85" i="1"/>
  <c r="T8" i="6"/>
  <c r="T12" i="6"/>
  <c r="T11" i="6"/>
  <c r="S13" i="6"/>
  <c r="T9" i="6"/>
  <c r="T7" i="6"/>
  <c r="S12" i="6"/>
  <c r="T10" i="6"/>
  <c r="S10" i="6"/>
  <c r="T13" i="6"/>
  <c r="S8" i="6"/>
  <c r="S11" i="6"/>
  <c r="S7" i="6"/>
  <c r="S9" i="6"/>
  <c r="T11" i="2"/>
  <c r="S10" i="2"/>
  <c r="T10" i="2"/>
  <c r="T13" i="2"/>
  <c r="T8" i="2"/>
  <c r="S7" i="2"/>
  <c r="S11" i="2"/>
  <c r="S12" i="2"/>
  <c r="S8" i="2"/>
  <c r="T12" i="2"/>
  <c r="T7" i="2"/>
  <c r="S13" i="2"/>
  <c r="T11" i="4"/>
  <c r="W11" i="4" s="1"/>
  <c r="S12" i="4"/>
  <c r="T12" i="4"/>
  <c r="W12" i="4" s="1"/>
  <c r="T9" i="4"/>
  <c r="W9" i="4" s="1"/>
  <c r="L22" i="1"/>
  <c r="M63" i="1"/>
  <c r="M29" i="1"/>
  <c r="L46" i="1"/>
  <c r="N38" i="1"/>
  <c r="L27" i="1"/>
  <c r="L66" i="1"/>
  <c r="N57" i="1"/>
  <c r="M37" i="1"/>
  <c r="M75" i="1"/>
  <c r="N47" i="1"/>
  <c r="M81" i="1"/>
  <c r="N61" i="1"/>
  <c r="M17" i="1"/>
  <c r="M19" i="1"/>
  <c r="M39" i="1"/>
  <c r="L77" i="1"/>
  <c r="M77" i="1"/>
  <c r="N77" i="1"/>
  <c r="M64" i="1"/>
  <c r="M36" i="1"/>
  <c r="M52" i="1"/>
  <c r="N8" i="1"/>
  <c r="M8" i="1"/>
  <c r="L14" i="1"/>
  <c r="M31" i="1"/>
  <c r="L31" i="1"/>
  <c r="N31" i="1"/>
  <c r="N90" i="1"/>
  <c r="L51" i="1"/>
  <c r="M72" i="1"/>
  <c r="L20" i="1"/>
  <c r="M69" i="1"/>
  <c r="L55" i="1"/>
  <c r="M25" i="1"/>
  <c r="M44" i="1"/>
  <c r="M67" i="1"/>
  <c r="N62" i="1"/>
  <c r="L74" i="1"/>
  <c r="L48" i="1"/>
  <c r="M65" i="1"/>
  <c r="L28" i="1"/>
  <c r="M49" i="1"/>
  <c r="L68" i="1"/>
  <c r="L13" i="1"/>
  <c r="N76" i="1"/>
  <c r="L45" i="1"/>
  <c r="N41" i="1"/>
  <c r="M9" i="1"/>
  <c r="M26" i="1"/>
  <c r="L26" i="1"/>
  <c r="N26" i="1"/>
  <c r="M32" i="1"/>
  <c r="L41" i="1"/>
  <c r="M28" i="1"/>
  <c r="N32" i="1"/>
  <c r="M76" i="1"/>
  <c r="N68" i="1"/>
  <c r="M68" i="1"/>
  <c r="L32" i="1"/>
  <c r="L19" i="1"/>
  <c r="N19" i="1"/>
  <c r="L8" i="1"/>
  <c r="L61" i="1"/>
  <c r="L36" i="1"/>
  <c r="L76" i="1"/>
  <c r="M41" i="1"/>
  <c r="L65" i="1"/>
  <c r="N49" i="1"/>
  <c r="M48" i="1"/>
  <c r="L9" i="1"/>
  <c r="M66" i="1"/>
  <c r="N39" i="1"/>
  <c r="L52" i="1"/>
  <c r="N9" i="1"/>
  <c r="M14" i="1"/>
  <c r="N28" i="1"/>
  <c r="N66" i="1"/>
  <c r="N36" i="1"/>
  <c r="N48" i="1"/>
  <c r="N69" i="1"/>
  <c r="M61" i="1"/>
  <c r="Q10" i="7"/>
  <c r="N14" i="1"/>
  <c r="N74" i="1"/>
  <c r="L64" i="1"/>
  <c r="L39" i="1"/>
  <c r="M20" i="1"/>
  <c r="Q7" i="7"/>
  <c r="N52" i="1"/>
  <c r="N64" i="1"/>
  <c r="N81" i="1"/>
  <c r="N6" i="1"/>
  <c r="L6" i="1"/>
  <c r="M6" i="1"/>
  <c r="N20" i="1"/>
  <c r="M12" i="1"/>
  <c r="L12" i="1"/>
  <c r="N12" i="1"/>
  <c r="L35" i="1"/>
  <c r="N35" i="1"/>
  <c r="M35" i="1"/>
  <c r="L17" i="1"/>
  <c r="M38" i="1"/>
  <c r="N17" i="1"/>
  <c r="L25" i="1"/>
  <c r="L81" i="1"/>
  <c r="N67" i="1"/>
  <c r="L67" i="1"/>
  <c r="L38" i="1"/>
  <c r="N25" i="1"/>
  <c r="L69" i="1"/>
  <c r="L63" i="1"/>
  <c r="N63" i="1"/>
  <c r="N46" i="1"/>
  <c r="M46" i="1"/>
  <c r="M10" i="1"/>
  <c r="L10" i="1"/>
  <c r="N10" i="1"/>
  <c r="L33" i="1"/>
  <c r="M33" i="1"/>
  <c r="N33" i="1"/>
  <c r="M34" i="1"/>
  <c r="L34" i="1"/>
  <c r="N34" i="1"/>
  <c r="N30" i="1"/>
  <c r="L30" i="1"/>
  <c r="M30" i="1"/>
  <c r="L44" i="1"/>
  <c r="N44" i="1"/>
  <c r="L62" i="1"/>
  <c r="M62" i="1"/>
  <c r="L29" i="1"/>
  <c r="N29" i="1"/>
  <c r="M80" i="1"/>
  <c r="N80" i="1"/>
  <c r="L80" i="1"/>
  <c r="M43" i="1"/>
  <c r="L43" i="1"/>
  <c r="N43" i="1"/>
  <c r="N65" i="1"/>
  <c r="L49" i="1"/>
  <c r="N27" i="1"/>
  <c r="M27" i="1"/>
  <c r="M74" i="1"/>
  <c r="N72" i="1"/>
  <c r="L72" i="1"/>
  <c r="N55" i="1"/>
  <c r="M55" i="1"/>
  <c r="L5" i="1"/>
  <c r="M5" i="1"/>
  <c r="N5" i="1"/>
  <c r="M73" i="1"/>
  <c r="N73" i="1"/>
  <c r="L73" i="1"/>
  <c r="M70" i="1"/>
  <c r="N70" i="1"/>
  <c r="L70" i="1"/>
  <c r="N21" i="1"/>
  <c r="L21" i="1"/>
  <c r="M21" i="1"/>
  <c r="L16" i="1"/>
  <c r="M16" i="1"/>
  <c r="N16" i="1"/>
  <c r="L37" i="1"/>
  <c r="N37" i="1"/>
  <c r="L47" i="1"/>
  <c r="M47" i="1"/>
  <c r="N22" i="1"/>
  <c r="M22" i="1"/>
  <c r="L15" i="1"/>
  <c r="M15" i="1"/>
  <c r="N15" i="1"/>
  <c r="L71" i="1"/>
  <c r="M71" i="1"/>
  <c r="N71" i="1"/>
  <c r="L24" i="1"/>
  <c r="M24" i="1"/>
  <c r="N24" i="1"/>
  <c r="M45" i="1"/>
  <c r="N13" i="1"/>
  <c r="N45" i="1"/>
  <c r="M13" i="1"/>
  <c r="M51" i="1"/>
  <c r="N51" i="1"/>
  <c r="L78" i="1"/>
  <c r="M78" i="1"/>
  <c r="N78" i="1"/>
  <c r="M23" i="1"/>
  <c r="N23" i="1"/>
  <c r="L23" i="1"/>
  <c r="L18" i="1"/>
  <c r="M18" i="1"/>
  <c r="N18" i="1"/>
  <c r="M79" i="1"/>
  <c r="N79" i="1"/>
  <c r="L79" i="1"/>
  <c r="L57" i="1"/>
  <c r="M57" i="1"/>
  <c r="L75" i="1"/>
  <c r="N75" i="1"/>
  <c r="M90" i="1"/>
  <c r="Q12" i="7"/>
  <c r="Q13" i="7"/>
  <c r="Q8" i="7"/>
  <c r="Q9" i="7"/>
  <c r="L90" i="1"/>
  <c r="G9" i="3"/>
  <c r="J9" i="3" s="1"/>
  <c r="Q11" i="7"/>
  <c r="M103" i="1"/>
  <c r="N103" i="1"/>
  <c r="L103" i="1"/>
  <c r="L124" i="1"/>
  <c r="M124" i="1"/>
  <c r="N124" i="1"/>
  <c r="L117" i="1"/>
  <c r="M117" i="1"/>
  <c r="N117" i="1"/>
  <c r="L113" i="1"/>
  <c r="M113" i="1"/>
  <c r="N113" i="1"/>
  <c r="N100" i="1"/>
  <c r="L100" i="1"/>
  <c r="M100" i="1"/>
  <c r="N107" i="1"/>
  <c r="L107" i="1"/>
  <c r="M107" i="1"/>
  <c r="M108" i="1"/>
  <c r="N108" i="1"/>
  <c r="L108" i="1"/>
  <c r="L105" i="1"/>
  <c r="M105" i="1"/>
  <c r="N105" i="1"/>
  <c r="L89" i="1"/>
  <c r="M89" i="1"/>
  <c r="N89" i="1"/>
  <c r="L110" i="1"/>
  <c r="M110" i="1"/>
  <c r="N110" i="1"/>
  <c r="N98" i="1"/>
  <c r="L98" i="1"/>
  <c r="M98" i="1"/>
  <c r="M91" i="1"/>
  <c r="N91" i="1"/>
  <c r="L91" i="1"/>
  <c r="M122" i="1"/>
  <c r="N122" i="1"/>
  <c r="L122" i="1"/>
  <c r="L119" i="1"/>
  <c r="M119" i="1"/>
  <c r="N119" i="1"/>
  <c r="L128" i="1"/>
  <c r="M128" i="1"/>
  <c r="N128" i="1"/>
  <c r="L101" i="1"/>
  <c r="M101" i="1"/>
  <c r="N101" i="1"/>
  <c r="L123" i="1"/>
  <c r="M123" i="1"/>
  <c r="N123" i="1"/>
  <c r="N99" i="1"/>
  <c r="L99" i="1"/>
  <c r="M99" i="1"/>
  <c r="N95" i="1"/>
  <c r="L95" i="1"/>
  <c r="M95" i="1"/>
  <c r="N104" i="1"/>
  <c r="L104" i="1"/>
  <c r="M104" i="1"/>
  <c r="M116" i="1"/>
  <c r="N116" i="1"/>
  <c r="L116" i="1"/>
  <c r="L118" i="1"/>
  <c r="M118" i="1"/>
  <c r="N118" i="1"/>
  <c r="L106" i="1"/>
  <c r="M106" i="1"/>
  <c r="N106" i="1"/>
  <c r="N86" i="1"/>
  <c r="L86" i="1"/>
  <c r="M86" i="1"/>
  <c r="L92" i="1"/>
  <c r="M92" i="1"/>
  <c r="N92" i="1"/>
  <c r="M93" i="1"/>
  <c r="N93" i="1"/>
  <c r="L93" i="1"/>
  <c r="M125" i="1"/>
  <c r="N125" i="1"/>
  <c r="L125" i="1"/>
  <c r="L87" i="1"/>
  <c r="M87" i="1"/>
  <c r="N87" i="1"/>
  <c r="L111" i="1"/>
  <c r="M111" i="1"/>
  <c r="N111" i="1"/>
  <c r="L130" i="1"/>
  <c r="M130" i="1"/>
  <c r="N130" i="1"/>
  <c r="L115" i="1"/>
  <c r="M115" i="1"/>
  <c r="N115" i="1"/>
  <c r="L126" i="1"/>
  <c r="M126" i="1"/>
  <c r="N126" i="1"/>
  <c r="N96" i="1"/>
  <c r="L96" i="1"/>
  <c r="M96" i="1"/>
  <c r="N120" i="1"/>
  <c r="L120" i="1"/>
  <c r="M120" i="1"/>
  <c r="N129" i="1"/>
  <c r="L129" i="1"/>
  <c r="M129" i="1"/>
  <c r="J12" i="7" a="1"/>
  <c r="J12" i="7" s="1"/>
  <c r="J13" i="7" s="1" a="1"/>
  <c r="J13" i="7" s="1"/>
  <c r="M127" i="1"/>
  <c r="N127" i="1"/>
  <c r="L127" i="1"/>
  <c r="L94" i="1"/>
  <c r="M94" i="1"/>
  <c r="N94" i="1"/>
  <c r="L88" i="1"/>
  <c r="M88" i="1"/>
  <c r="N88" i="1"/>
  <c r="J6" i="3" l="1"/>
  <c r="T11" i="9"/>
  <c r="T7" i="9"/>
  <c r="S10" i="9"/>
  <c r="T12" i="9"/>
  <c r="T8" i="9"/>
  <c r="S11" i="9"/>
  <c r="S7" i="9"/>
  <c r="T10" i="9"/>
  <c r="S13" i="9"/>
  <c r="S9" i="9"/>
  <c r="T13" i="9"/>
  <c r="T9" i="9"/>
  <c r="S12" i="9"/>
  <c r="S8" i="9"/>
  <c r="J10" i="3"/>
  <c r="O58" i="1"/>
  <c r="O121" i="1"/>
  <c r="O112" i="1"/>
  <c r="O53" i="1"/>
  <c r="O40" i="1"/>
  <c r="O59" i="1"/>
  <c r="O60" i="1"/>
  <c r="O54" i="1"/>
  <c r="O56" i="1"/>
  <c r="O42" i="1"/>
  <c r="O50" i="1"/>
  <c r="O102" i="1"/>
  <c r="O109" i="1"/>
  <c r="S7" i="8"/>
  <c r="T7" i="8"/>
  <c r="O7" i="1"/>
  <c r="S13" i="8"/>
  <c r="S12" i="8"/>
  <c r="T13" i="8"/>
  <c r="T12" i="8"/>
  <c r="S9" i="8"/>
  <c r="O11" i="1"/>
  <c r="T8" i="8"/>
  <c r="S10" i="8"/>
  <c r="S11" i="8"/>
  <c r="T11" i="8"/>
  <c r="T9" i="8"/>
  <c r="S8" i="8"/>
  <c r="T10" i="8"/>
  <c r="O97" i="1"/>
  <c r="O114" i="1"/>
  <c r="O85" i="1"/>
  <c r="O31" i="1"/>
  <c r="O77" i="1"/>
  <c r="O52" i="1"/>
  <c r="O41" i="1"/>
  <c r="O8" i="1"/>
  <c r="O68" i="1"/>
  <c r="O26" i="1"/>
  <c r="T7" i="7"/>
  <c r="O32" i="1"/>
  <c r="O76" i="1"/>
  <c r="T8" i="7"/>
  <c r="S7" i="7"/>
  <c r="O19" i="1"/>
  <c r="O28" i="1"/>
  <c r="O61" i="1"/>
  <c r="O36" i="1"/>
  <c r="O65" i="1"/>
  <c r="O38" i="1"/>
  <c r="O64" i="1"/>
  <c r="O39" i="1"/>
  <c r="O48" i="1"/>
  <c r="O49" i="1"/>
  <c r="O9" i="1"/>
  <c r="O69" i="1"/>
  <c r="O14" i="1"/>
  <c r="O66" i="1"/>
  <c r="O27" i="1"/>
  <c r="O67" i="1"/>
  <c r="O75" i="1"/>
  <c r="O37" i="1"/>
  <c r="O55" i="1"/>
  <c r="O74" i="1"/>
  <c r="O25" i="1"/>
  <c r="O17" i="1"/>
  <c r="O20" i="1"/>
  <c r="O57" i="1"/>
  <c r="O62" i="1"/>
  <c r="O30" i="1"/>
  <c r="O79" i="1"/>
  <c r="O13" i="1"/>
  <c r="O80" i="1"/>
  <c r="O35" i="1"/>
  <c r="O78" i="1"/>
  <c r="O71" i="1"/>
  <c r="O22" i="1"/>
  <c r="O16" i="1"/>
  <c r="O70" i="1"/>
  <c r="O5" i="1"/>
  <c r="O12" i="1"/>
  <c r="O6" i="1"/>
  <c r="O29" i="1"/>
  <c r="O47" i="1"/>
  <c r="O46" i="1"/>
  <c r="O81" i="1"/>
  <c r="O24" i="1"/>
  <c r="O90" i="1"/>
  <c r="O18" i="1"/>
  <c r="O51" i="1"/>
  <c r="O45" i="1"/>
  <c r="O21" i="1"/>
  <c r="O43" i="1"/>
  <c r="O44" i="1"/>
  <c r="O63" i="1"/>
  <c r="O10" i="1"/>
  <c r="O23" i="1"/>
  <c r="O15" i="1"/>
  <c r="O73" i="1"/>
  <c r="O72" i="1"/>
  <c r="O34" i="1"/>
  <c r="O33" i="1"/>
  <c r="T9" i="7"/>
  <c r="O103" i="1"/>
  <c r="S9" i="7"/>
  <c r="T11" i="7"/>
  <c r="S10" i="7"/>
  <c r="S8" i="7"/>
  <c r="T12" i="7"/>
  <c r="S12" i="7"/>
  <c r="S13" i="7"/>
  <c r="S11" i="7"/>
  <c r="T10" i="7"/>
  <c r="O124" i="1"/>
  <c r="O129" i="1"/>
  <c r="O130" i="1"/>
  <c r="O118" i="1"/>
  <c r="T13" i="7"/>
  <c r="O101" i="1"/>
  <c r="O105" i="1"/>
  <c r="O116" i="1"/>
  <c r="O108" i="1"/>
  <c r="O94" i="1"/>
  <c r="O88" i="1"/>
  <c r="O127" i="1"/>
  <c r="O96" i="1"/>
  <c r="O126" i="1"/>
  <c r="O87" i="1"/>
  <c r="O93" i="1"/>
  <c r="O95" i="1"/>
  <c r="O119" i="1"/>
  <c r="O91" i="1"/>
  <c r="O98" i="1"/>
  <c r="O110" i="1"/>
  <c r="O100" i="1"/>
  <c r="O113" i="1"/>
  <c r="O120" i="1"/>
  <c r="O111" i="1"/>
  <c r="O125" i="1"/>
  <c r="O92" i="1"/>
  <c r="O104" i="1"/>
  <c r="O128" i="1"/>
  <c r="O122" i="1"/>
  <c r="O107" i="1"/>
  <c r="O115" i="1"/>
  <c r="O86" i="1"/>
  <c r="O106" i="1"/>
  <c r="O99" i="1"/>
  <c r="O123" i="1"/>
  <c r="O89" i="1"/>
  <c r="O117" i="1"/>
  <c r="P112" i="1" l="1"/>
  <c r="P53" i="1"/>
  <c r="P50" i="1"/>
  <c r="P121" i="1"/>
  <c r="P40" i="1"/>
  <c r="P60" i="1"/>
  <c r="P59" i="1"/>
  <c r="P54" i="1"/>
  <c r="P42" i="1"/>
  <c r="P56" i="1"/>
  <c r="P58" i="1"/>
  <c r="P102" i="1"/>
  <c r="P109" i="1"/>
  <c r="P114" i="1"/>
  <c r="P97" i="1"/>
  <c r="P68" i="1"/>
  <c r="P78" i="1"/>
  <c r="P69" i="1"/>
  <c r="P43" i="1"/>
  <c r="P34" i="1"/>
  <c r="P32" i="1"/>
  <c r="P11" i="1"/>
  <c r="P27" i="1"/>
  <c r="P73" i="1"/>
  <c r="P17" i="1"/>
  <c r="P25" i="1"/>
  <c r="P15" i="1"/>
  <c r="P23" i="1"/>
  <c r="P79" i="1"/>
  <c r="P36" i="1"/>
  <c r="P72" i="1"/>
  <c r="P63" i="1"/>
  <c r="P35" i="1"/>
  <c r="P21" i="1"/>
  <c r="P39" i="1"/>
  <c r="P12" i="1"/>
  <c r="P47" i="1"/>
  <c r="P7" i="1"/>
  <c r="P22" i="1"/>
  <c r="P24" i="1"/>
  <c r="P61" i="1"/>
  <c r="P13" i="1"/>
  <c r="P18" i="1"/>
  <c r="P16" i="1"/>
  <c r="P64" i="1"/>
  <c r="P33" i="1"/>
  <c r="P10" i="1"/>
  <c r="P55" i="1"/>
  <c r="P52" i="1"/>
  <c r="P51" i="1"/>
  <c r="P67" i="1"/>
  <c r="P6" i="1"/>
  <c r="P45" i="1"/>
  <c r="P57" i="1"/>
  <c r="P41" i="1"/>
  <c r="P31" i="1"/>
  <c r="P9" i="1"/>
  <c r="P29" i="1"/>
  <c r="P19" i="1"/>
  <c r="P49" i="1"/>
  <c r="P76" i="1"/>
  <c r="P20" i="1"/>
  <c r="P81" i="1"/>
  <c r="P77" i="1"/>
  <c r="P62" i="1"/>
  <c r="P5" i="1"/>
  <c r="P74" i="1"/>
  <c r="P71" i="1"/>
  <c r="P80" i="1"/>
  <c r="P46" i="1"/>
  <c r="P70" i="1"/>
  <c r="P37" i="1"/>
  <c r="P28" i="1"/>
  <c r="P48" i="1"/>
  <c r="P38" i="1"/>
  <c r="P26" i="1"/>
  <c r="P30" i="1"/>
  <c r="P44" i="1"/>
  <c r="P14" i="1"/>
  <c r="P8" i="1"/>
  <c r="P65" i="1"/>
  <c r="P66" i="1"/>
  <c r="P75" i="1"/>
  <c r="P108" i="1"/>
  <c r="P130" i="1"/>
  <c r="P106" i="1"/>
  <c r="P101" i="1"/>
  <c r="P116" i="1"/>
  <c r="P124" i="1"/>
  <c r="P89" i="1"/>
  <c r="P128" i="1"/>
  <c r="P111" i="1"/>
  <c r="P110" i="1"/>
  <c r="P95" i="1"/>
  <c r="P96" i="1"/>
  <c r="P129" i="1"/>
  <c r="P98" i="1"/>
  <c r="P93" i="1"/>
  <c r="P127" i="1"/>
  <c r="P104" i="1"/>
  <c r="P103" i="1"/>
  <c r="P123" i="1"/>
  <c r="P86" i="1"/>
  <c r="P107" i="1"/>
  <c r="P92" i="1"/>
  <c r="P113" i="1"/>
  <c r="P91" i="1"/>
  <c r="P87" i="1"/>
  <c r="P88" i="1"/>
  <c r="P105" i="1"/>
  <c r="P120" i="1"/>
  <c r="P117" i="1"/>
  <c r="P99" i="1"/>
  <c r="P90" i="1"/>
  <c r="P85" i="1"/>
  <c r="P115" i="1"/>
  <c r="P118" i="1"/>
  <c r="P122" i="1"/>
  <c r="P125" i="1"/>
  <c r="P100" i="1"/>
  <c r="P119" i="1"/>
  <c r="P126" i="1"/>
  <c r="P94" i="1"/>
</calcChain>
</file>

<file path=xl/sharedStrings.xml><?xml version="1.0" encoding="utf-8"?>
<sst xmlns="http://schemas.openxmlformats.org/spreadsheetml/2006/main" count="1969" uniqueCount="313">
  <si>
    <t>Score
Total</t>
  </si>
  <si>
    <t>CLASSEMENT INDIVIDUEL MESSIEURS</t>
  </si>
  <si>
    <t>T1</t>
  </si>
  <si>
    <t>T2</t>
  </si>
  <si>
    <t>T3</t>
  </si>
  <si>
    <t>T4</t>
  </si>
  <si>
    <t>BOURGIER</t>
  </si>
  <si>
    <t>Robert</t>
  </si>
  <si>
    <t>CHARADE</t>
  </si>
  <si>
    <t>SIRIEX</t>
  </si>
  <si>
    <t>Denis</t>
  </si>
  <si>
    <t>JEANDREAU</t>
  </si>
  <si>
    <t>Alain</t>
  </si>
  <si>
    <t>RIOM</t>
  </si>
  <si>
    <t>Michel</t>
  </si>
  <si>
    <t>LOUBAT</t>
  </si>
  <si>
    <t>Jean</t>
  </si>
  <si>
    <t>HESEL</t>
  </si>
  <si>
    <t>Jean Marc</t>
  </si>
  <si>
    <t>VAL D'AUZON</t>
  </si>
  <si>
    <t>CAMBET</t>
  </si>
  <si>
    <t>Gérard</t>
  </si>
  <si>
    <t>GRAVELIN</t>
  </si>
  <si>
    <t>Marc</t>
  </si>
  <si>
    <t>Jean Louis</t>
  </si>
  <si>
    <t>Jacques</t>
  </si>
  <si>
    <t>MONTPENSIER</t>
  </si>
  <si>
    <t>ANADON</t>
  </si>
  <si>
    <t>Luis</t>
  </si>
  <si>
    <t>LABAUNE</t>
  </si>
  <si>
    <t>VEDEL</t>
  </si>
  <si>
    <t>Daniel</t>
  </si>
  <si>
    <t>ANAVOISARD</t>
  </si>
  <si>
    <t>Dominique</t>
  </si>
  <si>
    <t>MARTIN</t>
  </si>
  <si>
    <t>KUCHCIK</t>
  </si>
  <si>
    <t>MAZEYRAT</t>
  </si>
  <si>
    <t>Georges</t>
  </si>
  <si>
    <t>PERRIER</t>
  </si>
  <si>
    <t>Serge</t>
  </si>
  <si>
    <t>MAZEROLLE</t>
  </si>
  <si>
    <t>RODDE</t>
  </si>
  <si>
    <t>NEYRIAL</t>
  </si>
  <si>
    <t>Pierre</t>
  </si>
  <si>
    <t>Jacky</t>
  </si>
  <si>
    <t>SOUTHON</t>
  </si>
  <si>
    <t>René</t>
  </si>
  <si>
    <t>Philippe</t>
  </si>
  <si>
    <t>VALLUY</t>
  </si>
  <si>
    <t>MOULIN</t>
  </si>
  <si>
    <t>Christian</t>
  </si>
  <si>
    <t>MACHAJ</t>
  </si>
  <si>
    <t>Gilles</t>
  </si>
  <si>
    <t>ROSSI</t>
  </si>
  <si>
    <t>CLASSEMENT INDIVIDUEL Dames</t>
  </si>
  <si>
    <t>Christine</t>
  </si>
  <si>
    <t xml:space="preserve">DE MONTIS </t>
  </si>
  <si>
    <t>Huguette</t>
  </si>
  <si>
    <t>Annie</t>
  </si>
  <si>
    <t>Sylvie</t>
  </si>
  <si>
    <t>Michelle</t>
  </si>
  <si>
    <t>MONCHAUX</t>
  </si>
  <si>
    <t>Marie Hélène</t>
  </si>
  <si>
    <t>Francois</t>
  </si>
  <si>
    <t>GAILLARD</t>
  </si>
  <si>
    <t>MANOUVRIER</t>
  </si>
  <si>
    <t>Martine</t>
  </si>
  <si>
    <t>TIXIER</t>
  </si>
  <si>
    <t>Corinne</t>
  </si>
  <si>
    <t>CUVIER</t>
  </si>
  <si>
    <t>MERCIER</t>
  </si>
  <si>
    <t>Claude</t>
  </si>
  <si>
    <t>T5</t>
  </si>
  <si>
    <t>VACHOT</t>
  </si>
  <si>
    <t>MAURIAC</t>
  </si>
  <si>
    <t>FAURIE</t>
  </si>
  <si>
    <t>PIERROT</t>
  </si>
  <si>
    <t>GUEGUEN</t>
  </si>
  <si>
    <t>Elisabeth</t>
  </si>
  <si>
    <t>Jean Pierre</t>
  </si>
  <si>
    <t>NOM</t>
  </si>
  <si>
    <t>PRENOM</t>
  </si>
  <si>
    <t>CLUB</t>
  </si>
  <si>
    <t>Didier</t>
  </si>
  <si>
    <t>MEYNIAL</t>
  </si>
  <si>
    <t>Bernard</t>
  </si>
  <si>
    <t>VESCOVI</t>
  </si>
  <si>
    <t>T6</t>
  </si>
  <si>
    <t>T7</t>
  </si>
  <si>
    <t>DE BREUVAND</t>
  </si>
  <si>
    <t>Guy</t>
  </si>
  <si>
    <t>BROCHON</t>
  </si>
  <si>
    <t>FROMAGE</t>
  </si>
  <si>
    <t>SIOC HAN</t>
  </si>
  <si>
    <t>Claudine</t>
  </si>
  <si>
    <t>Régine</t>
  </si>
  <si>
    <t>CIBERT GOTHON</t>
  </si>
  <si>
    <t>MOUTREUX</t>
  </si>
  <si>
    <t>DOMY</t>
  </si>
  <si>
    <t>Monique</t>
  </si>
  <si>
    <t>MATHIEU</t>
  </si>
  <si>
    <t>Jocelyne</t>
  </si>
  <si>
    <t>Premier score retiré</t>
  </si>
  <si>
    <t>Second score retiré</t>
  </si>
  <si>
    <t>En rouge</t>
  </si>
  <si>
    <t>En bleu</t>
  </si>
  <si>
    <t>Jean Claude</t>
  </si>
  <si>
    <t>FLORENCIO</t>
  </si>
  <si>
    <t>Janine</t>
  </si>
  <si>
    <t>JOSSIER</t>
  </si>
  <si>
    <t>COMBARET</t>
  </si>
  <si>
    <t>Gisele</t>
  </si>
  <si>
    <t>MICHAUDEL</t>
  </si>
  <si>
    <t>Marie Martine</t>
  </si>
  <si>
    <t xml:space="preserve">VIDAL </t>
  </si>
  <si>
    <t>Odile</t>
  </si>
  <si>
    <t>RUSZNIEWSKI</t>
  </si>
  <si>
    <t>BENAZECH</t>
  </si>
  <si>
    <t>1 er     SCORE
Retiré</t>
  </si>
  <si>
    <t>2 ème    SCORE
Retiré</t>
  </si>
  <si>
    <t>BABUT</t>
  </si>
  <si>
    <t>Jean Luc</t>
  </si>
  <si>
    <t>MOUTH</t>
  </si>
  <si>
    <t>SOU AH Y</t>
  </si>
  <si>
    <t>Christophe</t>
  </si>
  <si>
    <t>BUZZINO</t>
  </si>
  <si>
    <t>Bruno</t>
  </si>
  <si>
    <t>PETITJEAN</t>
  </si>
  <si>
    <t>SCORE
Final 
2024</t>
  </si>
  <si>
    <t>GAZELEC VICHY</t>
  </si>
  <si>
    <t>GAZELEC CLERMONT</t>
  </si>
  <si>
    <t>MARGOTTIN</t>
  </si>
  <si>
    <t>Patrice</t>
  </si>
  <si>
    <t>ROBERT</t>
  </si>
  <si>
    <t>BRUN</t>
  </si>
  <si>
    <t>Odette</t>
  </si>
  <si>
    <t>GEIGER</t>
  </si>
  <si>
    <t>Yael</t>
  </si>
  <si>
    <t>PEGEON</t>
  </si>
  <si>
    <t>BRUNEL</t>
  </si>
  <si>
    <t>PACAUD</t>
  </si>
  <si>
    <t>LAFARGE</t>
  </si>
  <si>
    <t>Catherine</t>
  </si>
  <si>
    <t>BOURNAT</t>
  </si>
  <si>
    <t>Christiane</t>
  </si>
  <si>
    <t>VANDIER</t>
  </si>
  <si>
    <t>CLUZEL</t>
  </si>
  <si>
    <t>CARRER</t>
  </si>
  <si>
    <t xml:space="preserve">LOUBAT </t>
  </si>
  <si>
    <t>Jacqueline</t>
  </si>
  <si>
    <t>SPENGLER</t>
  </si>
  <si>
    <t>Ernest</t>
  </si>
  <si>
    <t>SANITAS</t>
  </si>
  <si>
    <t>LE QUERE</t>
  </si>
  <si>
    <t>Jean Marie</t>
  </si>
  <si>
    <t>CARETTI</t>
  </si>
  <si>
    <t>J Firmin</t>
  </si>
  <si>
    <t>Florence</t>
  </si>
  <si>
    <t>Classement</t>
  </si>
  <si>
    <t>GEBRILLAT</t>
  </si>
  <si>
    <t>Maël</t>
  </si>
  <si>
    <t xml:space="preserve">               ISAPP
             ANNEE 2025
            GENERAL INDIVIDUEL</t>
  </si>
  <si>
    <t>Score
MONTPENSIER
27/03/25</t>
  </si>
  <si>
    <t>Score
VAL D'AUZON
17/04/25</t>
  </si>
  <si>
    <t>Score
MAURIAC
05/06/25</t>
  </si>
  <si>
    <t>Score
MONT DORE
26/07/25</t>
  </si>
  <si>
    <t>Score
LES VOLCANS
28/08/25</t>
  </si>
  <si>
    <t>Score
RIOM
04/09/25</t>
  </si>
  <si>
    <t>Score
CHARADE
25/09/25</t>
  </si>
  <si>
    <t>FONTANON</t>
  </si>
  <si>
    <t>PAUTY</t>
  </si>
  <si>
    <t>Véronique</t>
  </si>
  <si>
    <t>VIVIER</t>
  </si>
  <si>
    <t>JACQUEMOT</t>
  </si>
  <si>
    <t>Thierry</t>
  </si>
  <si>
    <t>FLECHE</t>
  </si>
  <si>
    <t>Agnès</t>
  </si>
  <si>
    <t>TAILLADE</t>
  </si>
  <si>
    <t>Bénédicte</t>
  </si>
  <si>
    <t>SCORE
Final 
2025</t>
  </si>
  <si>
    <t xml:space="preserve">NOM </t>
  </si>
  <si>
    <t>BRUT</t>
  </si>
  <si>
    <t>JUHLIEN</t>
  </si>
  <si>
    <t>Roland</t>
  </si>
  <si>
    <t>GAZELEC MOULINS/VICHY</t>
  </si>
  <si>
    <t>VIDAL</t>
  </si>
  <si>
    <t>Colonne1</t>
  </si>
  <si>
    <t>TOP 3 BRUT</t>
  </si>
  <si>
    <t xml:space="preserve">               ISAPP
             ANNEE 2025
            GENERAL EQUIPE</t>
  </si>
  <si>
    <t>INDIVIDUEL DAMES</t>
  </si>
  <si>
    <t>SCORE  Brut</t>
  </si>
  <si>
    <t>CLASSEMENT</t>
  </si>
  <si>
    <t>M</t>
  </si>
  <si>
    <t>F</t>
  </si>
  <si>
    <t>Catégorie</t>
  </si>
  <si>
    <t>INDIVIDUEL MESSIEURS</t>
  </si>
  <si>
    <t>CONCOURS APPROCHE DAMES</t>
  </si>
  <si>
    <t>Distance</t>
  </si>
  <si>
    <t>Green N° 9</t>
  </si>
  <si>
    <t xml:space="preserve">CIBERT GOTHON </t>
  </si>
  <si>
    <t>CONCOURS APPROCHE MESSIEURS</t>
  </si>
  <si>
    <t>EQUIPES</t>
  </si>
  <si>
    <t>SCORE Brut</t>
  </si>
  <si>
    <t>Green N° X</t>
  </si>
  <si>
    <t>F P P  -  ISAPP  T2
   GOLF DE VAL D'AUZON                                                                                                        14 AVRIL 2025</t>
  </si>
  <si>
    <t>F P P  -  ISAPP  T1
   GOLF DE MONTPENSIER                                                                                                         27 MARS 2025</t>
  </si>
  <si>
    <t>F P P  -  ISAPP  T4
   GOLF DU MONT DORE                                                                                                   26 JUILLET 2025</t>
  </si>
  <si>
    <t>F P P  -  ISAPP  T3
   GOLF DE MAURIAC                                                                                                     5 JUIN 2025</t>
  </si>
  <si>
    <t>F P P  -  ISAPP  T5
   GOLF DES VOLCANS                                                                                                     28 AOUT 2025</t>
  </si>
  <si>
    <t>F P P  -  ISAPP  T6
   GOLF DE RIOM                                                                                                    4 SEPTEMBRE 2025</t>
  </si>
  <si>
    <t>F P P  -  ISAPP  T7
   GOLF DE CHARADE                                                                                                  25 SEPTEMBRE 2025</t>
  </si>
  <si>
    <t>LAPERNA</t>
  </si>
  <si>
    <t>JOFFRE</t>
  </si>
  <si>
    <t>Pascal</t>
  </si>
  <si>
    <t>Caroline</t>
  </si>
  <si>
    <t xml:space="preserve">BABUT </t>
  </si>
  <si>
    <t>BARSANGES</t>
  </si>
  <si>
    <t xml:space="preserve"> Marc</t>
  </si>
  <si>
    <t>BONNET</t>
  </si>
  <si>
    <t xml:space="preserve"> Monique</t>
  </si>
  <si>
    <t xml:space="preserve">BOURLON </t>
  </si>
  <si>
    <t xml:space="preserve">BRUNEL </t>
  </si>
  <si>
    <t xml:space="preserve">CHOISNET </t>
  </si>
  <si>
    <t>Jeanine</t>
  </si>
  <si>
    <t xml:space="preserve">CUVIER </t>
  </si>
  <si>
    <t xml:space="preserve"> Daniel</t>
  </si>
  <si>
    <t>MIGUET</t>
  </si>
  <si>
    <t xml:space="preserve"> Jean Marc</t>
  </si>
  <si>
    <t xml:space="preserve">MOUTREUX </t>
  </si>
  <si>
    <t xml:space="preserve">PIERROT </t>
  </si>
  <si>
    <t xml:space="preserve">SOU AH Y </t>
  </si>
  <si>
    <t xml:space="preserve">VEDEL </t>
  </si>
  <si>
    <t>GUILLOT</t>
  </si>
  <si>
    <t>Green N° 3</t>
  </si>
  <si>
    <t>BOURLON</t>
  </si>
  <si>
    <t>CHOISNET</t>
  </si>
  <si>
    <t>Marie Therese</t>
  </si>
  <si>
    <t>Joelle</t>
  </si>
  <si>
    <t xml:space="preserve">DIAZ </t>
  </si>
  <si>
    <t>DIAZ</t>
  </si>
  <si>
    <t>Luc</t>
  </si>
  <si>
    <t>BURLON</t>
  </si>
  <si>
    <t>TABLEAU PROVISOIRE</t>
  </si>
  <si>
    <t>MONT DORE</t>
  </si>
  <si>
    <t>LES VOLCANS</t>
  </si>
  <si>
    <t>GLOBAL</t>
  </si>
  <si>
    <t>PLOSSARD</t>
  </si>
  <si>
    <t>1,14 m</t>
  </si>
  <si>
    <t>1,60m</t>
  </si>
  <si>
    <t>Joëlle</t>
  </si>
  <si>
    <t xml:space="preserve">Gérard </t>
  </si>
  <si>
    <t>RIFF</t>
  </si>
  <si>
    <t>J.Louis</t>
  </si>
  <si>
    <t>Benedicte</t>
  </si>
  <si>
    <t xml:space="preserve">ANAVOISARD </t>
  </si>
  <si>
    <t xml:space="preserve"> Philippe</t>
  </si>
  <si>
    <t xml:space="preserve"> Michelle</t>
  </si>
  <si>
    <t xml:space="preserve"> Jean-Michel</t>
  </si>
  <si>
    <t xml:space="preserve"> Jean Pierre</t>
  </si>
  <si>
    <t xml:space="preserve"> Claude</t>
  </si>
  <si>
    <t>MINARD</t>
  </si>
  <si>
    <t xml:space="preserve"> Jacques</t>
  </si>
  <si>
    <t>Green N° 6</t>
  </si>
  <si>
    <t>Marie Laure</t>
  </si>
  <si>
    <t>COUTAREL</t>
  </si>
  <si>
    <t>RONGIER</t>
  </si>
  <si>
    <t>18 CM</t>
  </si>
  <si>
    <t>LAFARGE Catherine</t>
  </si>
  <si>
    <t>BENAZECH Didier</t>
  </si>
  <si>
    <t>Mauriac</t>
  </si>
  <si>
    <t>François</t>
  </si>
  <si>
    <t>MAZUEL</t>
  </si>
  <si>
    <t>Nicole</t>
  </si>
  <si>
    <t>Jean-Michel</t>
  </si>
  <si>
    <t xml:space="preserve">GUEGUEN </t>
  </si>
  <si>
    <t>Mickaël</t>
  </si>
  <si>
    <t xml:space="preserve">MERCIER </t>
  </si>
  <si>
    <t xml:space="preserve">VALLUY </t>
  </si>
  <si>
    <t>BALAINE</t>
  </si>
  <si>
    <t>Green N° 2</t>
  </si>
  <si>
    <t>MICHEL</t>
  </si>
  <si>
    <t>ROUSSEAU</t>
  </si>
  <si>
    <t>Maryline</t>
  </si>
  <si>
    <t xml:space="preserve">Gérard  </t>
  </si>
  <si>
    <t xml:space="preserve">HESEL </t>
  </si>
  <si>
    <t>Jean-Luc</t>
  </si>
  <si>
    <t xml:space="preserve">FAURIE </t>
  </si>
  <si>
    <t xml:space="preserve">JOSSIER </t>
  </si>
  <si>
    <t>TOUZET</t>
  </si>
  <si>
    <t>Isabelle</t>
  </si>
  <si>
    <t>Green N° 4</t>
  </si>
  <si>
    <t>BARBAT</t>
  </si>
  <si>
    <t>CHALMIN</t>
  </si>
  <si>
    <t>COLOMBIER</t>
  </si>
  <si>
    <t>Josiane</t>
  </si>
  <si>
    <t>FAURE</t>
  </si>
  <si>
    <t>FRUGERE</t>
  </si>
  <si>
    <t>HUGON</t>
  </si>
  <si>
    <t>MARCUCCI</t>
  </si>
  <si>
    <t>Alexandra</t>
  </si>
  <si>
    <t>CHAUMERLIAC</t>
  </si>
  <si>
    <t>SIOCHAN</t>
  </si>
  <si>
    <t xml:space="preserve">COUTAREL </t>
  </si>
  <si>
    <t xml:space="preserve">GEBRILLAT </t>
  </si>
  <si>
    <t xml:space="preserve"> Michaël</t>
  </si>
  <si>
    <t xml:space="preserve">MAZEYRAT </t>
  </si>
  <si>
    <t>GOUGAT</t>
  </si>
  <si>
    <t>Roger</t>
  </si>
  <si>
    <t>Green N° 14</t>
  </si>
  <si>
    <t>JULHIEN</t>
  </si>
  <si>
    <t xml:space="preserve"> Maël</t>
  </si>
  <si>
    <t>Christiane,</t>
  </si>
  <si>
    <t>RUZNIESKI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</si>
</sst>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6" x14ac:knownFonts="1">
    <font>
      <sz val="10"/>
      <name val="Arial"/>
      <family val="2"/>
    </font>
    <font>
      <b/>
      <sz val="16"/>
      <name val="Comic Sans MS"/>
      <family val="4"/>
    </font>
    <font>
      <b/>
      <sz val="12"/>
      <name val="Comic Sans MS"/>
      <family val="4"/>
    </font>
    <font>
      <sz val="12"/>
      <name val="Comic Sans MS"/>
      <family val="4"/>
    </font>
    <font>
      <b/>
      <sz val="1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4"/>
      <color rgb="FFFF0000"/>
      <name val="Comic Sans MS"/>
      <family val="4"/>
    </font>
    <font>
      <b/>
      <sz val="14"/>
      <name val="Comic Sans MS"/>
      <family val="4"/>
    </font>
    <font>
      <sz val="14"/>
      <color rgb="FF0000FF"/>
      <name val="Comic Sans MS"/>
      <family val="4"/>
    </font>
    <font>
      <b/>
      <sz val="12"/>
      <color theme="1"/>
      <name val="Comic Sans MS"/>
      <family val="4"/>
    </font>
    <font>
      <sz val="12"/>
      <color theme="1"/>
      <name val="Comic Sans MS"/>
      <family val="4"/>
    </font>
    <font>
      <sz val="12"/>
      <color rgb="FFFF0000"/>
      <name val="Comic Sans MS"/>
      <family val="4"/>
    </font>
    <font>
      <sz val="12"/>
      <color rgb="FF0070C0"/>
      <name val="Comic Sans MS"/>
      <family val="4"/>
    </font>
    <font>
      <b/>
      <sz val="12"/>
      <name val="Arial"/>
      <family val="2"/>
    </font>
    <font>
      <b/>
      <sz val="12"/>
      <name val="Comic Sans MS"/>
      <family val="4"/>
    </font>
    <font>
      <b/>
      <sz val="12"/>
      <color theme="1"/>
      <name val="Comic Sans MS"/>
      <family val="4"/>
    </font>
    <font>
      <sz val="12"/>
      <color rgb="FFFF0000"/>
      <name val="Comic Sans MS"/>
      <family val="4"/>
    </font>
    <font>
      <sz val="12"/>
      <color rgb="FF0070C0"/>
      <name val="Comic Sans MS"/>
      <family val="4"/>
    </font>
    <font>
      <b/>
      <sz val="14"/>
      <name val="Arial"/>
      <family val="2"/>
    </font>
    <font>
      <b/>
      <sz val="12"/>
      <color indexed="8"/>
      <name val="Comic Sans MS"/>
      <family val="4"/>
    </font>
    <font>
      <sz val="12"/>
      <color indexed="12"/>
      <name val="Comic Sans MS"/>
      <family val="4"/>
    </font>
    <font>
      <sz val="10"/>
      <color indexed="8"/>
      <name val="Calibri"/>
      <family val="2"/>
    </font>
    <font>
      <sz val="12"/>
      <name val="Comic Sans MS"/>
      <family val="4"/>
      <charset val="1"/>
    </font>
    <font>
      <b/>
      <sz val="16"/>
      <name val="Arial"/>
      <family val="2"/>
    </font>
    <font>
      <b/>
      <sz val="10"/>
      <color rgb="FFFF0000"/>
      <name val="Comic Sans MS"/>
      <family val="4"/>
    </font>
    <font>
      <b/>
      <sz val="14"/>
      <color indexed="8"/>
      <name val="Comic Sans MS"/>
      <family val="4"/>
    </font>
    <font>
      <b/>
      <sz val="10"/>
      <color indexed="12"/>
      <name val="Comic Sans MS"/>
      <family val="4"/>
    </font>
    <font>
      <b/>
      <sz val="10"/>
      <color indexed="8"/>
      <name val="Comic Sans MS"/>
      <family val="4"/>
    </font>
    <font>
      <b/>
      <sz val="11"/>
      <color indexed="8"/>
      <name val="Comic Sans MS"/>
      <family val="4"/>
    </font>
    <font>
      <sz val="10"/>
      <color indexed="8"/>
      <name val="Comic Sans MS"/>
      <family val="4"/>
    </font>
    <font>
      <b/>
      <sz val="14"/>
      <color indexed="12"/>
      <name val="Comic Sans MS"/>
      <family val="4"/>
    </font>
    <font>
      <sz val="10"/>
      <color indexed="10"/>
      <name val="Calibri"/>
      <family val="2"/>
    </font>
    <font>
      <sz val="10"/>
      <name val="Comic Sans MS"/>
      <family val="4"/>
    </font>
    <font>
      <b/>
      <sz val="14"/>
      <color indexed="10"/>
      <name val="Comic Sans MS"/>
      <family val="4"/>
    </font>
    <font>
      <b/>
      <sz val="10"/>
      <name val="Comic Sans MS"/>
      <family val="4"/>
    </font>
    <font>
      <sz val="12"/>
      <name val="Comic Sans MS"/>
      <family val="4"/>
    </font>
    <font>
      <sz val="12"/>
      <color indexed="12"/>
      <name val="Comic Sans MS"/>
      <family val="4"/>
    </font>
    <font>
      <b/>
      <sz val="12"/>
      <name val="Comic Sans MS"/>
      <family val="4"/>
    </font>
    <font>
      <b/>
      <sz val="12"/>
      <color theme="1"/>
      <name val="Comic Sans MS"/>
      <family val="4"/>
    </font>
    <font>
      <sz val="12"/>
      <color theme="1"/>
      <name val="Comic Sans MS"/>
      <family val="4"/>
    </font>
    <font>
      <sz val="12"/>
      <color rgb="FFFF0000"/>
      <name val="Comic Sans MS"/>
      <family val="4"/>
    </font>
    <font>
      <sz val="12"/>
      <color rgb="FF0070C0"/>
      <name val="Comic Sans MS"/>
      <family val="4"/>
    </font>
    <font>
      <b/>
      <sz val="14"/>
      <name val="Arial"/>
      <family val="2"/>
    </font>
    <font>
      <b/>
      <sz val="18"/>
      <color indexed="8"/>
      <name val="Calibri"/>
      <family val="2"/>
    </font>
    <font>
      <sz val="11"/>
      <name val="Comic Sans MS"/>
      <family val="4"/>
    </font>
    <font>
      <sz val="12"/>
      <color indexed="8"/>
      <name val="Calibri"/>
      <family val="2"/>
    </font>
    <font>
      <b/>
      <sz val="10"/>
      <color indexed="8"/>
      <name val="Comic Sans MS"/>
      <family val="4"/>
    </font>
    <font>
      <sz val="12"/>
      <color theme="1"/>
      <name val="Comic Sans MS"/>
      <family val="4"/>
    </font>
    <font>
      <b/>
      <sz val="12"/>
      <color theme="1"/>
      <name val="Comic Sans MS"/>
      <family val="4"/>
    </font>
    <font>
      <sz val="12"/>
      <color rgb="FFFF0000"/>
      <name val="Comic Sans MS"/>
      <family val="4"/>
    </font>
    <font>
      <sz val="12"/>
      <color rgb="FF0070C0"/>
      <name val="Comic Sans MS"/>
      <family val="4"/>
    </font>
    <font>
      <b/>
      <sz val="14"/>
      <name val="Arial"/>
      <family val="2"/>
    </font>
    <font>
      <sz val="12"/>
      <name val="Comic Sans MS"/>
      <family val="4"/>
    </font>
    <font>
      <sz val="12"/>
      <color indexed="12"/>
      <name val="Comic Sans MS"/>
      <family val="4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22"/>
        <bgColor indexed="55"/>
      </patternFill>
    </fill>
    <fill>
      <patternFill patternType="solid">
        <fgColor indexed="49"/>
        <bgColor indexed="15"/>
      </patternFill>
    </fill>
    <fill>
      <patternFill patternType="solid">
        <fgColor indexed="40"/>
        <bgColor indexed="15"/>
      </patternFill>
    </fill>
    <fill>
      <patternFill patternType="solid">
        <fgColor indexed="55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14"/>
        <bgColor indexed="33"/>
      </patternFill>
    </fill>
    <fill>
      <patternFill patternType="solid">
        <fgColor indexed="33"/>
        <bgColor indexed="14"/>
      </patternFill>
    </fill>
    <fill>
      <patternFill patternType="solid">
        <fgColor theme="9" tint="0.39997558519241921"/>
        <bgColor indexed="53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4BD97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CC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3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theme="9" tint="-0.249977111117893"/>
        <bgColor indexed="34"/>
      </patternFill>
    </fill>
    <fill>
      <patternFill patternType="solid">
        <fgColor indexed="52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2" tint="-0.499984740745262"/>
        <bgColor indexed="26"/>
      </patternFill>
    </fill>
  </fills>
  <borders count="78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indexed="8"/>
      </right>
      <top style="thin">
        <color indexed="8"/>
      </top>
      <bottom style="thin">
        <color rgb="FF000000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1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/>
  </cellStyleXfs>
  <cellXfs count="28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1" fontId="2" fillId="6" borderId="5" xfId="0" applyNumberFormat="1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9" borderId="1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" fontId="2" fillId="5" borderId="4" xfId="0" applyNumberFormat="1" applyFont="1" applyFill="1" applyBorder="1" applyAlignment="1">
      <alignment horizontal="center" vertical="center"/>
    </xf>
    <xf numFmtId="1" fontId="2" fillId="6" borderId="16" xfId="0" applyNumberFormat="1" applyFont="1" applyFill="1" applyBorder="1" applyAlignment="1">
      <alignment horizontal="center"/>
    </xf>
    <xf numFmtId="1" fontId="3" fillId="5" borderId="4" xfId="0" applyNumberFormat="1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8" fillId="0" borderId="21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2" fillId="11" borderId="9" xfId="0" applyFont="1" applyFill="1" applyBorder="1" applyAlignment="1">
      <alignment horizontal="left" vertical="center"/>
    </xf>
    <xf numFmtId="0" fontId="2" fillId="15" borderId="9" xfId="0" applyFont="1" applyFill="1" applyBorder="1" applyAlignment="1">
      <alignment horizontal="left" vertical="center"/>
    </xf>
    <xf numFmtId="0" fontId="2" fillId="13" borderId="10" xfId="0" applyFont="1" applyFill="1" applyBorder="1" applyAlignment="1">
      <alignment horizontal="left" vertical="center"/>
    </xf>
    <xf numFmtId="0" fontId="2" fillId="12" borderId="9" xfId="0" applyFont="1" applyFill="1" applyBorder="1" applyAlignment="1">
      <alignment horizontal="left" vertical="center"/>
    </xf>
    <xf numFmtId="0" fontId="2" fillId="16" borderId="9" xfId="0" applyFont="1" applyFill="1" applyBorder="1" applyAlignment="1">
      <alignment horizontal="left" vertical="center"/>
    </xf>
    <xf numFmtId="0" fontId="2" fillId="11" borderId="10" xfId="0" applyFont="1" applyFill="1" applyBorder="1" applyAlignment="1">
      <alignment horizontal="left" vertical="center"/>
    </xf>
    <xf numFmtId="0" fontId="2" fillId="15" borderId="10" xfId="0" applyFont="1" applyFill="1" applyBorder="1" applyAlignment="1">
      <alignment horizontal="left" vertical="center"/>
    </xf>
    <xf numFmtId="0" fontId="2" fillId="14" borderId="10" xfId="0" applyFont="1" applyFill="1" applyBorder="1" applyAlignment="1">
      <alignment horizontal="left" vertical="center"/>
    </xf>
    <xf numFmtId="0" fontId="2" fillId="12" borderId="10" xfId="0" applyFont="1" applyFill="1" applyBorder="1" applyAlignment="1">
      <alignment horizontal="left" vertical="center"/>
    </xf>
    <xf numFmtId="1" fontId="4" fillId="0" borderId="21" xfId="0" applyNumberFormat="1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1" fontId="11" fillId="7" borderId="9" xfId="0" applyNumberFormat="1" applyFont="1" applyFill="1" applyBorder="1" applyAlignment="1">
      <alignment horizontal="center"/>
    </xf>
    <xf numFmtId="1" fontId="11" fillId="7" borderId="17" xfId="0" applyNumberFormat="1" applyFont="1" applyFill="1" applyBorder="1" applyAlignment="1">
      <alignment horizontal="center"/>
    </xf>
    <xf numFmtId="0" fontId="2" fillId="19" borderId="10" xfId="0" applyFont="1" applyFill="1" applyBorder="1" applyAlignment="1">
      <alignment horizontal="left" vertical="center"/>
    </xf>
    <xf numFmtId="0" fontId="13" fillId="0" borderId="9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2" fillId="5" borderId="18" xfId="0" applyFont="1" applyFill="1" applyBorder="1" applyAlignment="1">
      <alignment vertical="center"/>
    </xf>
    <xf numFmtId="0" fontId="2" fillId="5" borderId="19" xfId="0" applyFont="1" applyFill="1" applyBorder="1" applyAlignment="1">
      <alignment vertical="center"/>
    </xf>
    <xf numFmtId="0" fontId="2" fillId="5" borderId="2" xfId="0" applyFont="1" applyFill="1" applyBorder="1" applyAlignment="1">
      <alignment vertical="center"/>
    </xf>
    <xf numFmtId="0" fontId="2" fillId="8" borderId="19" xfId="0" applyFont="1" applyFill="1" applyBorder="1" applyAlignment="1">
      <alignment vertical="center" wrapText="1"/>
    </xf>
    <xf numFmtId="0" fontId="2" fillId="8" borderId="2" xfId="0" applyFont="1" applyFill="1" applyBorder="1" applyAlignment="1">
      <alignment vertical="center" wrapText="1"/>
    </xf>
    <xf numFmtId="0" fontId="2" fillId="8" borderId="18" xfId="0" applyFont="1" applyFill="1" applyBorder="1" applyAlignment="1">
      <alignment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1" fontId="2" fillId="3" borderId="24" xfId="0" applyNumberFormat="1" applyFont="1" applyFill="1" applyBorder="1" applyAlignment="1">
      <alignment horizontal="center" vertical="center" wrapText="1"/>
    </xf>
    <xf numFmtId="1" fontId="2" fillId="3" borderId="27" xfId="0" applyNumberFormat="1" applyFont="1" applyFill="1" applyBorder="1" applyAlignment="1">
      <alignment horizontal="center" vertical="center" wrapText="1"/>
    </xf>
    <xf numFmtId="0" fontId="2" fillId="10" borderId="24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wrapText="1"/>
    </xf>
    <xf numFmtId="0" fontId="2" fillId="16" borderId="10" xfId="0" applyFont="1" applyFill="1" applyBorder="1" applyAlignment="1">
      <alignment horizontal="left" vertical="center"/>
    </xf>
    <xf numFmtId="0" fontId="2" fillId="13" borderId="9" xfId="0" applyFont="1" applyFill="1" applyBorder="1" applyAlignment="1">
      <alignment horizontal="left" vertical="center"/>
    </xf>
    <xf numFmtId="0" fontId="2" fillId="17" borderId="9" xfId="0" applyFont="1" applyFill="1" applyBorder="1" applyAlignment="1">
      <alignment horizontal="left" vertical="center"/>
    </xf>
    <xf numFmtId="1" fontId="4" fillId="0" borderId="38" xfId="0" applyNumberFormat="1" applyFont="1" applyBorder="1" applyAlignment="1">
      <alignment horizontal="center"/>
    </xf>
    <xf numFmtId="0" fontId="2" fillId="4" borderId="37" xfId="0" applyFont="1" applyFill="1" applyBorder="1" applyAlignment="1">
      <alignment horizontal="center" vertical="center" wrapText="1"/>
    </xf>
    <xf numFmtId="0" fontId="15" fillId="4" borderId="37" xfId="0" applyFont="1" applyFill="1" applyBorder="1" applyAlignment="1">
      <alignment horizontal="center" vertical="center" wrapText="1"/>
    </xf>
    <xf numFmtId="0" fontId="2" fillId="18" borderId="10" xfId="0" applyFont="1" applyFill="1" applyBorder="1" applyAlignment="1">
      <alignment horizontal="left" vertical="center"/>
    </xf>
    <xf numFmtId="0" fontId="2" fillId="0" borderId="30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12" fillId="0" borderId="39" xfId="0" applyFont="1" applyBorder="1" applyAlignment="1">
      <alignment horizontal="center"/>
    </xf>
    <xf numFmtId="1" fontId="20" fillId="0" borderId="21" xfId="0" applyNumberFormat="1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1" fontId="17" fillId="7" borderId="9" xfId="0" applyNumberFormat="1" applyFont="1" applyFill="1" applyBorder="1" applyAlignment="1">
      <alignment horizontal="center"/>
    </xf>
    <xf numFmtId="1" fontId="11" fillId="7" borderId="33" xfId="0" applyNumberFormat="1" applyFont="1" applyFill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22" fillId="0" borderId="45" xfId="0" applyFont="1" applyBorder="1" applyAlignment="1">
      <alignment horizontal="center" vertical="center"/>
    </xf>
    <xf numFmtId="0" fontId="22" fillId="0" borderId="46" xfId="0" applyFont="1" applyBorder="1" applyAlignment="1">
      <alignment horizontal="center" vertical="center"/>
    </xf>
    <xf numFmtId="0" fontId="3" fillId="14" borderId="47" xfId="0" applyFont="1" applyFill="1" applyBorder="1" applyAlignment="1">
      <alignment vertical="center"/>
    </xf>
    <xf numFmtId="0" fontId="23" fillId="0" borderId="0" xfId="0" applyFont="1" applyAlignment="1">
      <alignment horizontal="center" vertical="center"/>
    </xf>
    <xf numFmtId="0" fontId="3" fillId="13" borderId="21" xfId="0" applyFont="1" applyFill="1" applyBorder="1" applyAlignment="1">
      <alignment vertical="center"/>
    </xf>
    <xf numFmtId="0" fontId="3" fillId="13" borderId="48" xfId="0" applyFont="1" applyFill="1" applyBorder="1" applyAlignment="1">
      <alignment horizontal="left" vertical="center"/>
    </xf>
    <xf numFmtId="0" fontId="12" fillId="19" borderId="47" xfId="0" applyFont="1" applyFill="1" applyBorder="1" applyAlignment="1">
      <alignment horizontal="left" vertical="center"/>
    </xf>
    <xf numFmtId="0" fontId="22" fillId="0" borderId="49" xfId="0" applyFont="1" applyBorder="1" applyAlignment="1">
      <alignment horizontal="center" vertical="center"/>
    </xf>
    <xf numFmtId="0" fontId="3" fillId="19" borderId="50" xfId="0" applyFont="1" applyFill="1" applyBorder="1" applyAlignment="1">
      <alignment horizontal="left" vertical="center"/>
    </xf>
    <xf numFmtId="0" fontId="3" fillId="20" borderId="21" xfId="0" applyFont="1" applyFill="1" applyBorder="1" applyAlignment="1">
      <alignment vertical="center"/>
    </xf>
    <xf numFmtId="0" fontId="24" fillId="22" borderId="21" xfId="0" applyFont="1" applyFill="1" applyBorder="1" applyAlignment="1">
      <alignment vertical="center"/>
    </xf>
    <xf numFmtId="0" fontId="24" fillId="23" borderId="21" xfId="0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3" fillId="26" borderId="21" xfId="0" applyFont="1" applyFill="1" applyBorder="1" applyAlignment="1">
      <alignment vertical="center"/>
    </xf>
    <xf numFmtId="0" fontId="3" fillId="26" borderId="47" xfId="0" applyFont="1" applyFill="1" applyBorder="1" applyAlignment="1">
      <alignment vertical="center"/>
    </xf>
    <xf numFmtId="0" fontId="3" fillId="0" borderId="44" xfId="0" applyFont="1" applyBorder="1" applyAlignment="1">
      <alignment vertical="center"/>
    </xf>
    <xf numFmtId="0" fontId="21" fillId="0" borderId="52" xfId="0" applyFont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3" fillId="24" borderId="41" xfId="0" applyFont="1" applyFill="1" applyBorder="1" applyAlignment="1">
      <alignment vertical="center"/>
    </xf>
    <xf numFmtId="0" fontId="22" fillId="0" borderId="54" xfId="0" applyFont="1" applyBorder="1" applyAlignment="1">
      <alignment horizontal="center" vertical="center"/>
    </xf>
    <xf numFmtId="0" fontId="22" fillId="0" borderId="55" xfId="0" applyFont="1" applyBorder="1" applyAlignment="1">
      <alignment horizontal="center" vertical="center"/>
    </xf>
    <xf numFmtId="0" fontId="21" fillId="0" borderId="56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8" fillId="29" borderId="39" xfId="0" applyFont="1" applyFill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3" fillId="0" borderId="21" xfId="0" applyFont="1" applyBorder="1" applyAlignment="1">
      <alignment vertical="center"/>
    </xf>
    <xf numFmtId="0" fontId="24" fillId="0" borderId="21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1" fillId="0" borderId="0" xfId="0" applyFont="1" applyAlignment="1">
      <alignment horizontal="center" vertical="center"/>
    </xf>
    <xf numFmtId="2" fontId="32" fillId="0" borderId="39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2" fillId="0" borderId="39" xfId="0" applyFont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27" fillId="27" borderId="17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7" fillId="27" borderId="56" xfId="0" applyFont="1" applyFill="1" applyBorder="1" applyAlignment="1">
      <alignment horizontal="center" vertical="center"/>
    </xf>
    <xf numFmtId="0" fontId="32" fillId="29" borderId="52" xfId="0" applyFont="1" applyFill="1" applyBorder="1" applyAlignment="1">
      <alignment horizontal="center" vertical="center" wrapText="1"/>
    </xf>
    <xf numFmtId="0" fontId="29" fillId="0" borderId="5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32" fillId="0" borderId="17" xfId="0" applyFont="1" applyBorder="1" applyAlignment="1">
      <alignment horizontal="center" vertical="center"/>
    </xf>
    <xf numFmtId="0" fontId="36" fillId="29" borderId="39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9" fillId="29" borderId="17" xfId="0" applyFont="1" applyFill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/>
    </xf>
    <xf numFmtId="1" fontId="11" fillId="7" borderId="41" xfId="0" applyNumberFormat="1" applyFont="1" applyFill="1" applyBorder="1" applyAlignment="1">
      <alignment horizontal="center"/>
    </xf>
    <xf numFmtId="0" fontId="2" fillId="0" borderId="41" xfId="0" applyFont="1" applyBorder="1" applyAlignment="1">
      <alignment horizontal="left"/>
    </xf>
    <xf numFmtId="0" fontId="3" fillId="14" borderId="47" xfId="0" applyFont="1" applyFill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60" xfId="0" applyFont="1" applyBorder="1" applyAlignment="1">
      <alignment vertical="center"/>
    </xf>
    <xf numFmtId="0" fontId="3" fillId="13" borderId="47" xfId="0" applyFont="1" applyFill="1" applyBorder="1" applyAlignment="1">
      <alignment vertical="center"/>
    </xf>
    <xf numFmtId="0" fontId="3" fillId="0" borderId="47" xfId="0" applyFont="1" applyBorder="1" applyAlignment="1">
      <alignment vertical="center"/>
    </xf>
    <xf numFmtId="0" fontId="3" fillId="30" borderId="47" xfId="0" applyFont="1" applyFill="1" applyBorder="1" applyAlignment="1">
      <alignment vertical="center"/>
    </xf>
    <xf numFmtId="0" fontId="3" fillId="19" borderId="47" xfId="0" applyFont="1" applyFill="1" applyBorder="1" applyAlignment="1">
      <alignment horizontal="left" vertical="center"/>
    </xf>
    <xf numFmtId="0" fontId="3" fillId="0" borderId="61" xfId="0" applyFont="1" applyBorder="1" applyAlignment="1">
      <alignment horizontal="left" vertical="center"/>
    </xf>
    <xf numFmtId="0" fontId="3" fillId="19" borderId="59" xfId="0" applyFont="1" applyFill="1" applyBorder="1" applyAlignment="1">
      <alignment horizontal="left" vertical="center"/>
    </xf>
    <xf numFmtId="0" fontId="3" fillId="0" borderId="62" xfId="0" applyFont="1" applyBorder="1" applyAlignment="1">
      <alignment horizontal="left" vertical="center"/>
    </xf>
    <xf numFmtId="0" fontId="3" fillId="19" borderId="58" xfId="0" applyFont="1" applyFill="1" applyBorder="1" applyAlignment="1">
      <alignment horizontal="left" vertical="center"/>
    </xf>
    <xf numFmtId="0" fontId="3" fillId="19" borderId="62" xfId="0" applyFont="1" applyFill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3" fillId="20" borderId="63" xfId="0" applyFont="1" applyFill="1" applyBorder="1" applyAlignment="1">
      <alignment horizontal="center" vertical="center"/>
    </xf>
    <xf numFmtId="0" fontId="3" fillId="30" borderId="63" xfId="0" applyFont="1" applyFill="1" applyBorder="1" applyAlignment="1">
      <alignment horizontal="center" vertical="center"/>
    </xf>
    <xf numFmtId="0" fontId="3" fillId="20" borderId="47" xfId="0" applyFont="1" applyFill="1" applyBorder="1" applyAlignment="1">
      <alignment horizontal="center" vertical="center"/>
    </xf>
    <xf numFmtId="0" fontId="3" fillId="30" borderId="47" xfId="0" applyFont="1" applyFill="1" applyBorder="1" applyAlignment="1">
      <alignment horizontal="center" vertical="center"/>
    </xf>
    <xf numFmtId="0" fontId="3" fillId="22" borderId="47" xfId="0" applyFont="1" applyFill="1" applyBorder="1" applyAlignment="1">
      <alignment horizontal="center" vertical="center"/>
    </xf>
    <xf numFmtId="0" fontId="3" fillId="23" borderId="47" xfId="0" applyFont="1" applyFill="1" applyBorder="1" applyAlignment="1">
      <alignment horizontal="center" vertical="center"/>
    </xf>
    <xf numFmtId="0" fontId="3" fillId="31" borderId="47" xfId="0" applyFont="1" applyFill="1" applyBorder="1" applyAlignment="1">
      <alignment horizontal="center" vertical="center"/>
    </xf>
    <xf numFmtId="0" fontId="3" fillId="24" borderId="39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26" borderId="47" xfId="0" applyFont="1" applyFill="1" applyBorder="1" applyAlignment="1">
      <alignment horizontal="center" vertical="center"/>
    </xf>
    <xf numFmtId="0" fontId="2" fillId="14" borderId="9" xfId="0" applyFont="1" applyFill="1" applyBorder="1" applyAlignment="1">
      <alignment horizontal="left" vertical="center"/>
    </xf>
    <xf numFmtId="0" fontId="18" fillId="0" borderId="39" xfId="0" applyFont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37" fillId="0" borderId="64" xfId="0" applyFont="1" applyBorder="1" applyAlignment="1">
      <alignment vertical="center"/>
    </xf>
    <xf numFmtId="0" fontId="37" fillId="0" borderId="0" xfId="0" applyFont="1" applyAlignment="1">
      <alignment horizontal="center" vertical="center"/>
    </xf>
    <xf numFmtId="0" fontId="22" fillId="0" borderId="67" xfId="0" applyFont="1" applyBorder="1" applyAlignment="1">
      <alignment horizontal="center" vertical="center"/>
    </xf>
    <xf numFmtId="0" fontId="38" fillId="0" borderId="66" xfId="0" applyFont="1" applyBorder="1" applyAlignment="1">
      <alignment horizontal="center" vertical="center"/>
    </xf>
    <xf numFmtId="0" fontId="2" fillId="0" borderId="32" xfId="0" applyFont="1" applyBorder="1" applyAlignment="1">
      <alignment horizontal="left"/>
    </xf>
    <xf numFmtId="0" fontId="2" fillId="19" borderId="9" xfId="0" applyFont="1" applyFill="1" applyBorder="1" applyAlignment="1">
      <alignment horizontal="left" vertical="center"/>
    </xf>
    <xf numFmtId="1" fontId="44" fillId="0" borderId="21" xfId="0" applyNumberFormat="1" applyFont="1" applyBorder="1" applyAlignment="1">
      <alignment horizontal="center"/>
    </xf>
    <xf numFmtId="0" fontId="39" fillId="0" borderId="9" xfId="0" applyFont="1" applyBorder="1" applyAlignment="1">
      <alignment horizontal="left"/>
    </xf>
    <xf numFmtId="0" fontId="41" fillId="0" borderId="9" xfId="0" applyFont="1" applyBorder="1" applyAlignment="1">
      <alignment horizontal="center"/>
    </xf>
    <xf numFmtId="0" fontId="40" fillId="0" borderId="9" xfId="0" applyFont="1" applyBorder="1" applyAlignment="1">
      <alignment horizontal="center"/>
    </xf>
    <xf numFmtId="1" fontId="40" fillId="7" borderId="9" xfId="0" applyNumberFormat="1" applyFont="1" applyFill="1" applyBorder="1" applyAlignment="1">
      <alignment horizontal="center"/>
    </xf>
    <xf numFmtId="0" fontId="42" fillId="0" borderId="9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2" fillId="0" borderId="31" xfId="0" applyFont="1" applyBorder="1" applyAlignment="1">
      <alignment horizontal="left"/>
    </xf>
    <xf numFmtId="0" fontId="45" fillId="0" borderId="39" xfId="0" applyFont="1" applyBorder="1" applyAlignment="1">
      <alignment horizontal="center" vertical="center"/>
    </xf>
    <xf numFmtId="0" fontId="27" fillId="0" borderId="39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 wrapText="1"/>
    </xf>
    <xf numFmtId="0" fontId="2" fillId="0" borderId="69" xfId="0" applyFont="1" applyBorder="1" applyAlignment="1">
      <alignment horizontal="center" vertical="center" wrapText="1"/>
    </xf>
    <xf numFmtId="0" fontId="27" fillId="27" borderId="68" xfId="0" applyFont="1" applyFill="1" applyBorder="1" applyAlignment="1">
      <alignment horizontal="center" vertical="center"/>
    </xf>
    <xf numFmtId="0" fontId="29" fillId="0" borderId="68" xfId="0" applyFont="1" applyBorder="1" applyAlignment="1">
      <alignment horizontal="center" vertical="center" wrapText="1"/>
    </xf>
    <xf numFmtId="0" fontId="21" fillId="0" borderId="68" xfId="0" applyFont="1" applyBorder="1" applyAlignment="1">
      <alignment horizontal="center" vertical="center"/>
    </xf>
    <xf numFmtId="0" fontId="0" fillId="32" borderId="0" xfId="0" applyFill="1"/>
    <xf numFmtId="0" fontId="3" fillId="0" borderId="64" xfId="0" applyFont="1" applyBorder="1" applyAlignment="1">
      <alignment vertical="center"/>
    </xf>
    <xf numFmtId="0" fontId="22" fillId="0" borderId="70" xfId="0" applyFont="1" applyBorder="1" applyAlignment="1">
      <alignment horizontal="center" vertical="center"/>
    </xf>
    <xf numFmtId="0" fontId="3" fillId="22" borderId="47" xfId="0" applyFont="1" applyFill="1" applyBorder="1" applyAlignment="1">
      <alignment vertical="center"/>
    </xf>
    <xf numFmtId="0" fontId="16" fillId="0" borderId="9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0" fontId="11" fillId="0" borderId="9" xfId="0" applyFont="1" applyBorder="1" applyAlignment="1">
      <alignment horizontal="center"/>
    </xf>
    <xf numFmtId="0" fontId="13" fillId="0" borderId="39" xfId="0" applyFont="1" applyBorder="1" applyAlignment="1">
      <alignment horizontal="center" wrapText="1"/>
    </xf>
    <xf numFmtId="0" fontId="19" fillId="0" borderId="20" xfId="0" applyFont="1" applyBorder="1" applyAlignment="1">
      <alignment horizontal="center"/>
    </xf>
    <xf numFmtId="1" fontId="20" fillId="0" borderId="38" xfId="0" applyNumberFormat="1" applyFont="1" applyBorder="1" applyAlignment="1">
      <alignment horizontal="center"/>
    </xf>
    <xf numFmtId="0" fontId="16" fillId="0" borderId="6" xfId="0" applyFont="1" applyBorder="1" applyAlignment="1">
      <alignment horizontal="left"/>
    </xf>
    <xf numFmtId="0" fontId="16" fillId="0" borderId="7" xfId="0" applyFont="1" applyBorder="1" applyAlignment="1">
      <alignment horizontal="left"/>
    </xf>
    <xf numFmtId="0" fontId="2" fillId="12" borderId="8" xfId="0" applyFont="1" applyFill="1" applyBorder="1" applyAlignment="1">
      <alignment horizontal="left" vertical="center"/>
    </xf>
    <xf numFmtId="0" fontId="12" fillId="0" borderId="47" xfId="0" applyFont="1" applyBorder="1" applyAlignment="1">
      <alignment horizontal="left" vertical="center"/>
    </xf>
    <xf numFmtId="0" fontId="3" fillId="0" borderId="59" xfId="0" applyFont="1" applyBorder="1" applyAlignment="1">
      <alignment vertical="center"/>
    </xf>
    <xf numFmtId="0" fontId="24" fillId="22" borderId="47" xfId="0" applyFont="1" applyFill="1" applyBorder="1" applyAlignment="1">
      <alignment horizontal="left" vertical="center"/>
    </xf>
    <xf numFmtId="0" fontId="24" fillId="0" borderId="47" xfId="0" applyFont="1" applyBorder="1" applyAlignment="1">
      <alignment horizontal="left" vertical="center"/>
    </xf>
    <xf numFmtId="0" fontId="3" fillId="0" borderId="71" xfId="0" applyFont="1" applyBorder="1" applyAlignment="1">
      <alignment vertical="center"/>
    </xf>
    <xf numFmtId="0" fontId="3" fillId="24" borderId="39" xfId="0" applyFont="1" applyFill="1" applyBorder="1" applyAlignment="1">
      <alignment horizontal="left" vertical="center"/>
    </xf>
    <xf numFmtId="0" fontId="3" fillId="0" borderId="39" xfId="0" applyFont="1" applyBorder="1" applyAlignment="1">
      <alignment horizontal="left" vertical="center"/>
    </xf>
    <xf numFmtId="0" fontId="3" fillId="26" borderId="47" xfId="0" applyFont="1" applyFill="1" applyBorder="1" applyAlignment="1">
      <alignment horizontal="left" vertical="center"/>
    </xf>
    <xf numFmtId="0" fontId="3" fillId="20" borderId="47" xfId="0" applyFont="1" applyFill="1" applyBorder="1" applyAlignment="1">
      <alignment horizontal="left" vertical="center"/>
    </xf>
    <xf numFmtId="0" fontId="3" fillId="30" borderId="47" xfId="0" applyFont="1" applyFill="1" applyBorder="1" applyAlignment="1">
      <alignment horizontal="left" vertical="center"/>
    </xf>
    <xf numFmtId="0" fontId="3" fillId="14" borderId="47" xfId="0" applyFont="1" applyFill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46" fillId="14" borderId="47" xfId="0" applyFont="1" applyFill="1" applyBorder="1" applyAlignment="1">
      <alignment horizontal="left" vertical="center"/>
    </xf>
    <xf numFmtId="0" fontId="3" fillId="13" borderId="47" xfId="0" applyFont="1" applyFill="1" applyBorder="1" applyAlignment="1">
      <alignment horizontal="left" vertical="center"/>
    </xf>
    <xf numFmtId="0" fontId="24" fillId="23" borderId="47" xfId="0" applyFont="1" applyFill="1" applyBorder="1" applyAlignment="1">
      <alignment horizontal="left" vertical="center"/>
    </xf>
    <xf numFmtId="0" fontId="24" fillId="33" borderId="47" xfId="0" applyFont="1" applyFill="1" applyBorder="1" applyAlignment="1">
      <alignment horizontal="left" vertical="center"/>
    </xf>
    <xf numFmtId="0" fontId="3" fillId="20" borderId="73" xfId="0" applyFont="1" applyFill="1" applyBorder="1" applyAlignment="1">
      <alignment horizontal="left" vertical="center"/>
    </xf>
    <xf numFmtId="0" fontId="3" fillId="24" borderId="39" xfId="309" applyFont="1" applyFill="1" applyBorder="1" applyAlignment="1">
      <alignment horizontal="left" vertical="center"/>
    </xf>
    <xf numFmtId="0" fontId="3" fillId="0" borderId="39" xfId="309" applyFont="1" applyBorder="1" applyAlignment="1">
      <alignment horizontal="left" vertical="center"/>
    </xf>
    <xf numFmtId="0" fontId="3" fillId="34" borderId="39" xfId="309" applyFont="1" applyFill="1" applyBorder="1" applyAlignment="1">
      <alignment horizontal="left" vertical="center"/>
    </xf>
    <xf numFmtId="0" fontId="3" fillId="26" borderId="72" xfId="0" applyFont="1" applyFill="1" applyBorder="1" applyAlignment="1">
      <alignment horizontal="left" vertical="center"/>
    </xf>
    <xf numFmtId="0" fontId="24" fillId="22" borderId="74" xfId="0" applyFont="1" applyFill="1" applyBorder="1" applyAlignment="1">
      <alignment horizontal="left" vertical="center"/>
    </xf>
    <xf numFmtId="0" fontId="3" fillId="0" borderId="75" xfId="0" applyFont="1" applyBorder="1" applyAlignment="1">
      <alignment vertical="center"/>
    </xf>
    <xf numFmtId="0" fontId="22" fillId="0" borderId="76" xfId="0" applyFont="1" applyBorder="1" applyAlignment="1">
      <alignment horizontal="center" vertical="center"/>
    </xf>
    <xf numFmtId="0" fontId="48" fillId="0" borderId="6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/>
    </xf>
    <xf numFmtId="0" fontId="2" fillId="0" borderId="47" xfId="0" applyFont="1" applyBorder="1" applyAlignment="1">
      <alignment horizontal="left"/>
    </xf>
    <xf numFmtId="0" fontId="2" fillId="0" borderId="9" xfId="0" applyFont="1" applyBorder="1" applyAlignment="1">
      <alignment horizontal="left" vertical="center"/>
    </xf>
    <xf numFmtId="0" fontId="2" fillId="19" borderId="13" xfId="0" applyFont="1" applyFill="1" applyBorder="1" applyAlignment="1">
      <alignment horizontal="left" vertical="center"/>
    </xf>
    <xf numFmtId="1" fontId="17" fillId="7" borderId="33" xfId="0" applyNumberFormat="1" applyFont="1" applyFill="1" applyBorder="1" applyAlignment="1">
      <alignment horizontal="center"/>
    </xf>
    <xf numFmtId="0" fontId="2" fillId="0" borderId="17" xfId="0" applyFont="1" applyBorder="1" applyAlignment="1">
      <alignment horizontal="left" vertical="center"/>
    </xf>
    <xf numFmtId="0" fontId="2" fillId="12" borderId="13" xfId="0" applyFont="1" applyFill="1" applyBorder="1" applyAlignment="1">
      <alignment horizontal="left" vertical="center"/>
    </xf>
    <xf numFmtId="0" fontId="24" fillId="24" borderId="39" xfId="309" applyFont="1" applyFill="1" applyBorder="1" applyAlignment="1">
      <alignment horizontal="left" vertical="center"/>
    </xf>
    <xf numFmtId="0" fontId="24" fillId="0" borderId="39" xfId="309" applyFont="1" applyBorder="1" applyAlignment="1">
      <alignment horizontal="left" vertical="center"/>
    </xf>
    <xf numFmtId="0" fontId="50" fillId="0" borderId="39" xfId="0" applyFont="1" applyBorder="1" applyAlignment="1">
      <alignment horizontal="center"/>
    </xf>
    <xf numFmtId="1" fontId="53" fillId="0" borderId="21" xfId="0" applyNumberFormat="1" applyFont="1" applyBorder="1" applyAlignment="1">
      <alignment horizontal="center"/>
    </xf>
    <xf numFmtId="0" fontId="24" fillId="24" borderId="65" xfId="309" applyFont="1" applyFill="1" applyBorder="1" applyAlignment="1">
      <alignment horizontal="left" vertical="center"/>
    </xf>
    <xf numFmtId="0" fontId="4" fillId="0" borderId="39" xfId="0" applyFont="1" applyBorder="1" applyAlignment="1">
      <alignment horizontal="center" vertical="center"/>
    </xf>
    <xf numFmtId="0" fontId="3" fillId="0" borderId="77" xfId="0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2" fillId="17" borderId="20" xfId="0" applyFont="1" applyFill="1" applyBorder="1" applyAlignment="1">
      <alignment horizontal="left" vertical="center"/>
    </xf>
    <xf numFmtId="0" fontId="2" fillId="16" borderId="20" xfId="0" applyFont="1" applyFill="1" applyBorder="1" applyAlignment="1">
      <alignment horizontal="left" vertical="center"/>
    </xf>
    <xf numFmtId="0" fontId="2" fillId="20" borderId="17" xfId="0" applyFont="1" applyFill="1" applyBorder="1" applyAlignment="1">
      <alignment horizontal="left"/>
    </xf>
    <xf numFmtId="0" fontId="2" fillId="20" borderId="9" xfId="0" applyFont="1" applyFill="1" applyBorder="1" applyAlignment="1">
      <alignment horizontal="left"/>
    </xf>
    <xf numFmtId="0" fontId="2" fillId="15" borderId="13" xfId="0" applyFont="1" applyFill="1" applyBorder="1" applyAlignment="1">
      <alignment horizontal="left" vertical="center"/>
    </xf>
    <xf numFmtId="0" fontId="2" fillId="17" borderId="10" xfId="0" applyFont="1" applyFill="1" applyBorder="1" applyAlignment="1">
      <alignment horizontal="left" vertical="center"/>
    </xf>
    <xf numFmtId="0" fontId="49" fillId="0" borderId="9" xfId="0" applyFont="1" applyBorder="1" applyAlignment="1">
      <alignment horizontal="center"/>
    </xf>
    <xf numFmtId="1" fontId="50" fillId="7" borderId="9" xfId="0" applyNumberFormat="1" applyFont="1" applyFill="1" applyBorder="1" applyAlignment="1">
      <alignment horizontal="center"/>
    </xf>
    <xf numFmtId="0" fontId="51" fillId="0" borderId="9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54" fillId="0" borderId="77" xfId="0" applyFont="1" applyBorder="1" applyAlignment="1">
      <alignment vertical="center"/>
    </xf>
    <xf numFmtId="0" fontId="54" fillId="0" borderId="0" xfId="0" applyFont="1" applyAlignment="1">
      <alignment horizontal="center" vertical="center"/>
    </xf>
    <xf numFmtId="0" fontId="55" fillId="0" borderId="70" xfId="0" applyFont="1" applyBorder="1" applyAlignment="1">
      <alignment horizontal="center" vertical="center"/>
    </xf>
    <xf numFmtId="0" fontId="24" fillId="31" borderId="47" xfId="0" applyFont="1" applyFill="1" applyBorder="1" applyAlignment="1">
      <alignment horizontal="left" vertical="center"/>
    </xf>
    <xf numFmtId="0" fontId="3" fillId="34" borderId="39" xfId="0" applyFont="1" applyFill="1" applyBorder="1" applyAlignment="1">
      <alignment horizontal="left" vertical="center"/>
    </xf>
    <xf numFmtId="0" fontId="2" fillId="0" borderId="17" xfId="0" applyFont="1" applyBorder="1" applyAlignment="1">
      <alignment horizontal="left" wrapText="1"/>
    </xf>
    <xf numFmtId="0" fontId="2" fillId="30" borderId="17" xfId="0" applyFont="1" applyFill="1" applyBorder="1" applyAlignment="1">
      <alignment horizontal="left" vertical="center"/>
    </xf>
    <xf numFmtId="0" fontId="2" fillId="11" borderId="13" xfId="0" applyFont="1" applyFill="1" applyBorder="1" applyAlignment="1">
      <alignment horizontal="left" vertical="center"/>
    </xf>
    <xf numFmtId="1" fontId="17" fillId="7" borderId="41" xfId="0" applyNumberFormat="1" applyFont="1" applyFill="1" applyBorder="1" applyAlignment="1">
      <alignment horizontal="center"/>
    </xf>
    <xf numFmtId="0" fontId="2" fillId="0" borderId="17" xfId="0" applyFont="1" applyBorder="1" applyAlignment="1">
      <alignment vertical="center"/>
    </xf>
    <xf numFmtId="0" fontId="3" fillId="0" borderId="9" xfId="0" applyFont="1" applyBorder="1" applyAlignment="1">
      <alignment horizontal="left" vertical="center"/>
    </xf>
    <xf numFmtId="0" fontId="2" fillId="0" borderId="47" xfId="0" applyFont="1" applyBorder="1" applyAlignment="1">
      <alignment horizontal="left" vertical="center"/>
    </xf>
    <xf numFmtId="0" fontId="3" fillId="26" borderId="30" xfId="0" applyFont="1" applyFill="1" applyBorder="1" applyAlignment="1">
      <alignment horizontal="left" vertical="center"/>
    </xf>
    <xf numFmtId="0" fontId="3" fillId="26" borderId="33" xfId="0" applyFont="1" applyFill="1" applyBorder="1" applyAlignment="1">
      <alignment horizontal="left" vertical="center"/>
    </xf>
    <xf numFmtId="0" fontId="3" fillId="26" borderId="9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9" fillId="0" borderId="22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1" fillId="28" borderId="1" xfId="0" applyFont="1" applyFill="1" applyBorder="1" applyAlignment="1">
      <alignment horizontal="center" vertical="center" wrapText="1"/>
    </xf>
    <xf numFmtId="0" fontId="25" fillId="27" borderId="18" xfId="0" applyFont="1" applyFill="1" applyBorder="1" applyAlignment="1">
      <alignment horizontal="center" vertical="center" wrapText="1"/>
    </xf>
    <xf numFmtId="0" fontId="25" fillId="27" borderId="19" xfId="0" applyFont="1" applyFill="1" applyBorder="1" applyAlignment="1">
      <alignment horizontal="center" vertical="center" wrapText="1"/>
    </xf>
    <xf numFmtId="0" fontId="25" fillId="27" borderId="2" xfId="0" applyFont="1" applyFill="1" applyBorder="1" applyAlignment="1">
      <alignment horizontal="center" vertical="center" wrapText="1"/>
    </xf>
    <xf numFmtId="0" fontId="27" fillId="27" borderId="57" xfId="0" applyFont="1" applyFill="1" applyBorder="1" applyAlignment="1">
      <alignment horizontal="center" vertical="center"/>
    </xf>
    <xf numFmtId="0" fontId="27" fillId="27" borderId="43" xfId="0" applyFont="1" applyFill="1" applyBorder="1" applyAlignment="1">
      <alignment horizontal="center" vertical="center"/>
    </xf>
    <xf numFmtId="0" fontId="30" fillId="27" borderId="57" xfId="0" applyFont="1" applyFill="1" applyBorder="1" applyAlignment="1">
      <alignment horizontal="center" vertical="center"/>
    </xf>
    <xf numFmtId="0" fontId="30" fillId="27" borderId="43" xfId="0" applyFont="1" applyFill="1" applyBorder="1" applyAlignment="1">
      <alignment horizontal="center" vertical="center"/>
    </xf>
    <xf numFmtId="0" fontId="3" fillId="25" borderId="51" xfId="0" applyFont="1" applyFill="1" applyBorder="1" applyAlignment="1">
      <alignment horizontal="center" vertical="center" wrapText="1"/>
    </xf>
    <xf numFmtId="0" fontId="3" fillId="25" borderId="37" xfId="0" applyFont="1" applyFill="1" applyBorder="1" applyAlignment="1">
      <alignment horizontal="center" vertical="center" wrapText="1"/>
    </xf>
    <xf numFmtId="0" fontId="3" fillId="14" borderId="51" xfId="0" applyFont="1" applyFill="1" applyBorder="1" applyAlignment="1">
      <alignment horizontal="center" vertical="center"/>
    </xf>
    <xf numFmtId="0" fontId="3" fillId="14" borderId="37" xfId="0" applyFont="1" applyFill="1" applyBorder="1" applyAlignment="1">
      <alignment horizontal="center" vertical="center"/>
    </xf>
    <xf numFmtId="0" fontId="3" fillId="13" borderId="42" xfId="0" applyFont="1" applyFill="1" applyBorder="1" applyAlignment="1">
      <alignment horizontal="center" vertical="center"/>
    </xf>
    <xf numFmtId="0" fontId="3" fillId="13" borderId="0" xfId="0" applyFont="1" applyFill="1" applyAlignment="1">
      <alignment horizontal="center" vertical="center"/>
    </xf>
    <xf numFmtId="0" fontId="3" fillId="19" borderId="42" xfId="0" applyFont="1" applyFill="1" applyBorder="1" applyAlignment="1">
      <alignment horizontal="center" vertical="center"/>
    </xf>
    <xf numFmtId="0" fontId="3" fillId="19" borderId="0" xfId="0" applyFont="1" applyFill="1" applyAlignment="1">
      <alignment horizontal="center" vertical="center"/>
    </xf>
    <xf numFmtId="0" fontId="3" fillId="20" borderId="51" xfId="0" applyFont="1" applyFill="1" applyBorder="1" applyAlignment="1">
      <alignment horizontal="center" vertical="center"/>
    </xf>
    <xf numFmtId="0" fontId="3" fillId="20" borderId="37" xfId="0" applyFont="1" applyFill="1" applyBorder="1" applyAlignment="1">
      <alignment horizontal="center" vertical="center"/>
    </xf>
    <xf numFmtId="0" fontId="3" fillId="21" borderId="51" xfId="0" applyFont="1" applyFill="1" applyBorder="1" applyAlignment="1">
      <alignment horizontal="center" vertical="center"/>
    </xf>
    <xf numFmtId="0" fontId="3" fillId="21" borderId="37" xfId="0" applyFont="1" applyFill="1" applyBorder="1" applyAlignment="1">
      <alignment horizontal="center" vertical="center"/>
    </xf>
    <xf numFmtId="0" fontId="3" fillId="24" borderId="51" xfId="0" applyFont="1" applyFill="1" applyBorder="1" applyAlignment="1">
      <alignment horizontal="center" vertical="center"/>
    </xf>
    <xf numFmtId="0" fontId="3" fillId="24" borderId="37" xfId="0" applyFont="1" applyFill="1" applyBorder="1" applyAlignment="1">
      <alignment horizontal="center" vertical="center"/>
    </xf>
    <xf numFmtId="0" fontId="30" fillId="27" borderId="40" xfId="0" applyFont="1" applyFill="1" applyBorder="1" applyAlignment="1">
      <alignment horizontal="center" vertical="center"/>
    </xf>
    <xf numFmtId="0" fontId="30" fillId="27" borderId="41" xfId="0" applyFont="1" applyFill="1" applyBorder="1" applyAlignment="1">
      <alignment horizontal="center" vertical="center"/>
    </xf>
  </cellXfs>
  <cellStyles count="310">
    <cellStyle name="Excel Built-in Normal" xfId="309" xr:uid="{00000000-0005-0000-0000-000000000000}"/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" xfId="37" builtinId="8" hidden="1"/>
    <cellStyle name="Lien hypertexte" xfId="39" builtinId="8" hidden="1"/>
    <cellStyle name="Lien hypertexte" xfId="41" builtinId="8" hidden="1"/>
    <cellStyle name="Lien hypertexte" xfId="43" builtinId="8" hidden="1"/>
    <cellStyle name="Lien hypertexte" xfId="45" builtinId="8" hidden="1"/>
    <cellStyle name="Lien hypertexte" xfId="47" builtinId="8" hidden="1"/>
    <cellStyle name="Lien hypertexte" xfId="49" builtinId="8" hidden="1"/>
    <cellStyle name="Lien hypertexte" xfId="51" builtinId="8" hidden="1"/>
    <cellStyle name="Lien hypertexte" xfId="53" builtinId="8" hidden="1"/>
    <cellStyle name="Lien hypertexte" xfId="55" builtinId="8" hidden="1"/>
    <cellStyle name="Lien hypertexte" xfId="57" builtinId="8" hidden="1"/>
    <cellStyle name="Lien hypertexte" xfId="59" builtinId="8" hidden="1"/>
    <cellStyle name="Lien hypertexte" xfId="61" builtinId="8" hidden="1"/>
    <cellStyle name="Lien hypertexte" xfId="63" builtinId="8" hidden="1"/>
    <cellStyle name="Lien hypertexte" xfId="65" builtinId="8" hidden="1"/>
    <cellStyle name="Lien hypertexte" xfId="67" builtinId="8" hidden="1"/>
    <cellStyle name="Lien hypertexte" xfId="69" builtinId="8" hidden="1"/>
    <cellStyle name="Lien hypertexte" xfId="71" builtinId="8" hidden="1"/>
    <cellStyle name="Lien hypertexte" xfId="73" builtinId="8" hidden="1"/>
    <cellStyle name="Lien hypertexte" xfId="75" builtinId="8" hidden="1"/>
    <cellStyle name="Lien hypertexte" xfId="77" builtinId="8" hidden="1"/>
    <cellStyle name="Lien hypertexte" xfId="79" builtinId="8" hidden="1"/>
    <cellStyle name="Lien hypertexte" xfId="81" builtinId="8" hidden="1"/>
    <cellStyle name="Lien hypertexte" xfId="83" builtinId="8" hidden="1"/>
    <cellStyle name="Lien hypertexte" xfId="85" builtinId="8" hidden="1"/>
    <cellStyle name="Lien hypertexte" xfId="87" builtinId="8" hidden="1"/>
    <cellStyle name="Lien hypertexte" xfId="89" builtinId="8" hidden="1"/>
    <cellStyle name="Lien hypertexte" xfId="91" builtinId="8" hidden="1"/>
    <cellStyle name="Lien hypertexte" xfId="93" builtinId="8" hidden="1"/>
    <cellStyle name="Lien hypertexte" xfId="95" builtinId="8" hidden="1"/>
    <cellStyle name="Lien hypertexte" xfId="97" builtinId="8" hidden="1"/>
    <cellStyle name="Lien hypertexte" xfId="99" builtinId="8" hidden="1"/>
    <cellStyle name="Lien hypertexte" xfId="101" builtinId="8" hidden="1"/>
    <cellStyle name="Lien hypertexte" xfId="103" builtinId="8" hidden="1"/>
    <cellStyle name="Lien hypertexte" xfId="105" builtinId="8" hidden="1"/>
    <cellStyle name="Lien hypertexte" xfId="107" builtinId="8" hidden="1"/>
    <cellStyle name="Lien hypertexte" xfId="109" builtinId="8" hidden="1"/>
    <cellStyle name="Lien hypertexte" xfId="111" builtinId="8" hidden="1"/>
    <cellStyle name="Lien hypertexte" xfId="113" builtinId="8" hidden="1"/>
    <cellStyle name="Lien hypertexte" xfId="115" builtinId="8" hidden="1"/>
    <cellStyle name="Lien hypertexte" xfId="117" builtinId="8" hidden="1"/>
    <cellStyle name="Lien hypertexte" xfId="119" builtinId="8" hidden="1"/>
    <cellStyle name="Lien hypertexte" xfId="121" builtinId="8" hidden="1"/>
    <cellStyle name="Lien hypertexte" xfId="123" builtinId="8" hidden="1"/>
    <cellStyle name="Lien hypertexte" xfId="125" builtinId="8" hidden="1"/>
    <cellStyle name="Lien hypertexte" xfId="127" builtinId="8" hidden="1"/>
    <cellStyle name="Lien hypertexte" xfId="129" builtinId="8" hidden="1"/>
    <cellStyle name="Lien hypertexte" xfId="131" builtinId="8" hidden="1"/>
    <cellStyle name="Lien hypertexte" xfId="133" builtinId="8" hidden="1"/>
    <cellStyle name="Lien hypertexte" xfId="135" builtinId="8" hidden="1"/>
    <cellStyle name="Lien hypertexte" xfId="137" builtinId="8" hidden="1"/>
    <cellStyle name="Lien hypertexte" xfId="139" builtinId="8" hidden="1"/>
    <cellStyle name="Lien hypertexte" xfId="141" builtinId="8" hidden="1"/>
    <cellStyle name="Lien hypertexte" xfId="143" builtinId="8" hidden="1"/>
    <cellStyle name="Lien hypertexte" xfId="145" builtinId="8" hidden="1"/>
    <cellStyle name="Lien hypertexte" xfId="147" builtinId="8" hidden="1"/>
    <cellStyle name="Lien hypertexte" xfId="149" builtinId="8" hidden="1"/>
    <cellStyle name="Lien hypertexte" xfId="151" builtinId="8" hidden="1"/>
    <cellStyle name="Lien hypertexte" xfId="153" builtinId="8" hidden="1"/>
    <cellStyle name="Lien hypertexte" xfId="155" builtinId="8" hidden="1"/>
    <cellStyle name="Lien hypertexte" xfId="157" builtinId="8" hidden="1"/>
    <cellStyle name="Lien hypertexte" xfId="159" builtinId="8" hidden="1"/>
    <cellStyle name="Lien hypertexte" xfId="161" builtinId="8" hidden="1"/>
    <cellStyle name="Lien hypertexte" xfId="163" builtinId="8" hidden="1"/>
    <cellStyle name="Lien hypertexte" xfId="165" builtinId="8" hidden="1"/>
    <cellStyle name="Lien hypertexte" xfId="167" builtinId="8" hidden="1"/>
    <cellStyle name="Lien hypertexte" xfId="169" builtinId="8" hidden="1"/>
    <cellStyle name="Lien hypertexte" xfId="171" builtinId="8" hidden="1"/>
    <cellStyle name="Lien hypertexte" xfId="173" builtinId="8" hidden="1"/>
    <cellStyle name="Lien hypertexte" xfId="175" builtinId="8" hidden="1"/>
    <cellStyle name="Lien hypertexte" xfId="177" builtinId="8" hidden="1"/>
    <cellStyle name="Lien hypertexte" xfId="179" builtinId="8" hidden="1"/>
    <cellStyle name="Lien hypertexte" xfId="181" builtinId="8" hidden="1"/>
    <cellStyle name="Lien hypertexte" xfId="183" builtinId="8" hidden="1"/>
    <cellStyle name="Lien hypertexte" xfId="185" builtinId="8" hidden="1"/>
    <cellStyle name="Lien hypertexte" xfId="187" builtinId="8" hidden="1"/>
    <cellStyle name="Lien hypertexte" xfId="189" builtinId="8" hidden="1"/>
    <cellStyle name="Lien hypertexte" xfId="191" builtinId="8" hidden="1"/>
    <cellStyle name="Lien hypertexte" xfId="193" builtinId="8" hidden="1"/>
    <cellStyle name="Lien hypertexte" xfId="195" builtinId="8" hidden="1"/>
    <cellStyle name="Lien hypertexte" xfId="197" builtinId="8" hidden="1"/>
    <cellStyle name="Lien hypertexte" xfId="199" builtinId="8" hidden="1"/>
    <cellStyle name="Lien hypertexte" xfId="201" builtinId="8" hidden="1"/>
    <cellStyle name="Lien hypertexte" xfId="203" builtinId="8" hidden="1"/>
    <cellStyle name="Lien hypertexte" xfId="205" builtinId="8" hidden="1"/>
    <cellStyle name="Lien hypertexte" xfId="207" builtinId="8" hidden="1"/>
    <cellStyle name="Lien hypertexte" xfId="209" builtinId="8" hidden="1"/>
    <cellStyle name="Lien hypertexte" xfId="211" builtinId="8" hidden="1"/>
    <cellStyle name="Lien hypertexte" xfId="213" builtinId="8" hidden="1"/>
    <cellStyle name="Lien hypertexte" xfId="215" builtinId="8" hidden="1"/>
    <cellStyle name="Lien hypertexte" xfId="217" builtinId="8" hidden="1"/>
    <cellStyle name="Lien hypertexte" xfId="219" builtinId="8" hidden="1"/>
    <cellStyle name="Lien hypertexte" xfId="221" builtinId="8" hidden="1"/>
    <cellStyle name="Lien hypertexte" xfId="223" builtinId="8" hidden="1"/>
    <cellStyle name="Lien hypertexte" xfId="225" builtinId="8" hidden="1"/>
    <cellStyle name="Lien hypertexte" xfId="227" builtinId="8" hidden="1"/>
    <cellStyle name="Lien hypertexte" xfId="229" builtinId="8" hidden="1"/>
    <cellStyle name="Lien hypertexte" xfId="231" builtinId="8" hidden="1"/>
    <cellStyle name="Lien hypertexte" xfId="233" builtinId="8" hidden="1"/>
    <cellStyle name="Lien hypertexte" xfId="235" builtinId="8" hidden="1"/>
    <cellStyle name="Lien hypertexte" xfId="237" builtinId="8" hidden="1"/>
    <cellStyle name="Lien hypertexte" xfId="239" builtinId="8" hidden="1"/>
    <cellStyle name="Lien hypertexte" xfId="241" builtinId="8" hidden="1"/>
    <cellStyle name="Lien hypertexte" xfId="243" builtinId="8" hidden="1"/>
    <cellStyle name="Lien hypertexte" xfId="245" builtinId="8" hidden="1"/>
    <cellStyle name="Lien hypertexte" xfId="247" builtinId="8" hidden="1"/>
    <cellStyle name="Lien hypertexte" xfId="249" builtinId="8" hidden="1"/>
    <cellStyle name="Lien hypertexte" xfId="251" builtinId="8" hidden="1"/>
    <cellStyle name="Lien hypertexte" xfId="253" builtinId="8" hidden="1"/>
    <cellStyle name="Lien hypertexte" xfId="255" builtinId="8" hidden="1"/>
    <cellStyle name="Lien hypertexte" xfId="257" builtinId="8" hidden="1"/>
    <cellStyle name="Lien hypertexte" xfId="259" builtinId="8" hidden="1"/>
    <cellStyle name="Lien hypertexte" xfId="261" builtinId="8" hidden="1"/>
    <cellStyle name="Lien hypertexte" xfId="263" builtinId="8" hidden="1"/>
    <cellStyle name="Lien hypertexte" xfId="265" builtinId="8" hidden="1"/>
    <cellStyle name="Lien hypertexte" xfId="267" builtinId="8" hidden="1"/>
    <cellStyle name="Lien hypertexte" xfId="269" builtinId="8" hidden="1"/>
    <cellStyle name="Lien hypertexte" xfId="271" builtinId="8" hidden="1"/>
    <cellStyle name="Lien hypertexte" xfId="273" builtinId="8" hidden="1"/>
    <cellStyle name="Lien hypertexte" xfId="275" builtinId="8" hidden="1"/>
    <cellStyle name="Lien hypertexte" xfId="277" builtinId="8" hidden="1"/>
    <cellStyle name="Lien hypertexte" xfId="279" builtinId="8" hidden="1"/>
    <cellStyle name="Lien hypertexte" xfId="281" builtinId="8" hidden="1"/>
    <cellStyle name="Lien hypertexte" xfId="283" builtinId="8" hidden="1"/>
    <cellStyle name="Lien hypertexte" xfId="285" builtinId="8" hidden="1"/>
    <cellStyle name="Lien hypertexte" xfId="287" builtinId="8" hidden="1"/>
    <cellStyle name="Lien hypertexte" xfId="289" builtinId="8" hidden="1"/>
    <cellStyle name="Lien hypertexte" xfId="291" builtinId="8" hidden="1"/>
    <cellStyle name="Lien hypertexte" xfId="293" builtinId="8" hidden="1"/>
    <cellStyle name="Lien hypertexte" xfId="295" builtinId="8" hidden="1"/>
    <cellStyle name="Lien hypertexte" xfId="297" builtinId="8" hidden="1"/>
    <cellStyle name="Lien hypertexte" xfId="299" builtinId="8" hidden="1"/>
    <cellStyle name="Lien hypertexte" xfId="301" builtinId="8" hidden="1"/>
    <cellStyle name="Lien hypertexte" xfId="303" builtinId="8" hidden="1"/>
    <cellStyle name="Lien hypertexte" xfId="305" builtinId="8" hidden="1"/>
    <cellStyle name="Lien hypertexte" xfId="307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Lien hypertexte visité" xfId="38" builtinId="9" hidden="1"/>
    <cellStyle name="Lien hypertexte visité" xfId="40" builtinId="9" hidden="1"/>
    <cellStyle name="Lien hypertexte visité" xfId="42" builtinId="9" hidden="1"/>
    <cellStyle name="Lien hypertexte visité" xfId="44" builtinId="9" hidden="1"/>
    <cellStyle name="Lien hypertexte visité" xfId="46" builtinId="9" hidden="1"/>
    <cellStyle name="Lien hypertexte visité" xfId="48" builtinId="9" hidden="1"/>
    <cellStyle name="Lien hypertexte visité" xfId="50" builtinId="9" hidden="1"/>
    <cellStyle name="Lien hypertexte visité" xfId="52" builtinId="9" hidden="1"/>
    <cellStyle name="Lien hypertexte visité" xfId="54" builtinId="9" hidden="1"/>
    <cellStyle name="Lien hypertexte visité" xfId="56" builtinId="9" hidden="1"/>
    <cellStyle name="Lien hypertexte visité" xfId="58" builtinId="9" hidden="1"/>
    <cellStyle name="Lien hypertexte visité" xfId="60" builtinId="9" hidden="1"/>
    <cellStyle name="Lien hypertexte visité" xfId="62" builtinId="9" hidden="1"/>
    <cellStyle name="Lien hypertexte visité" xfId="64" builtinId="9" hidden="1"/>
    <cellStyle name="Lien hypertexte visité" xfId="66" builtinId="9" hidden="1"/>
    <cellStyle name="Lien hypertexte visité" xfId="68" builtinId="9" hidden="1"/>
    <cellStyle name="Lien hypertexte visité" xfId="70" builtinId="9" hidden="1"/>
    <cellStyle name="Lien hypertexte visité" xfId="72" builtinId="9" hidden="1"/>
    <cellStyle name="Lien hypertexte visité" xfId="74" builtinId="9" hidden="1"/>
    <cellStyle name="Lien hypertexte visité" xfId="76" builtinId="9" hidden="1"/>
    <cellStyle name="Lien hypertexte visité" xfId="78" builtinId="9" hidden="1"/>
    <cellStyle name="Lien hypertexte visité" xfId="80" builtinId="9" hidden="1"/>
    <cellStyle name="Lien hypertexte visité" xfId="82" builtinId="9" hidden="1"/>
    <cellStyle name="Lien hypertexte visité" xfId="84" builtinId="9" hidden="1"/>
    <cellStyle name="Lien hypertexte visité" xfId="86" builtinId="9" hidden="1"/>
    <cellStyle name="Lien hypertexte visité" xfId="88" builtinId="9" hidden="1"/>
    <cellStyle name="Lien hypertexte visité" xfId="90" builtinId="9" hidden="1"/>
    <cellStyle name="Lien hypertexte visité" xfId="92" builtinId="9" hidden="1"/>
    <cellStyle name="Lien hypertexte visité" xfId="94" builtinId="9" hidden="1"/>
    <cellStyle name="Lien hypertexte visité" xfId="96" builtinId="9" hidden="1"/>
    <cellStyle name="Lien hypertexte visité" xfId="98" builtinId="9" hidden="1"/>
    <cellStyle name="Lien hypertexte visité" xfId="100" builtinId="9" hidden="1"/>
    <cellStyle name="Lien hypertexte visité" xfId="102" builtinId="9" hidden="1"/>
    <cellStyle name="Lien hypertexte visité" xfId="104" builtinId="9" hidden="1"/>
    <cellStyle name="Lien hypertexte visité" xfId="106" builtinId="9" hidden="1"/>
    <cellStyle name="Lien hypertexte visité" xfId="108" builtinId="9" hidden="1"/>
    <cellStyle name="Lien hypertexte visité" xfId="110" builtinId="9" hidden="1"/>
    <cellStyle name="Lien hypertexte visité" xfId="112" builtinId="9" hidden="1"/>
    <cellStyle name="Lien hypertexte visité" xfId="114" builtinId="9" hidden="1"/>
    <cellStyle name="Lien hypertexte visité" xfId="116" builtinId="9" hidden="1"/>
    <cellStyle name="Lien hypertexte visité" xfId="118" builtinId="9" hidden="1"/>
    <cellStyle name="Lien hypertexte visité" xfId="120" builtinId="9" hidden="1"/>
    <cellStyle name="Lien hypertexte visité" xfId="122" builtinId="9" hidden="1"/>
    <cellStyle name="Lien hypertexte visité" xfId="124" builtinId="9" hidden="1"/>
    <cellStyle name="Lien hypertexte visité" xfId="126" builtinId="9" hidden="1"/>
    <cellStyle name="Lien hypertexte visité" xfId="128" builtinId="9" hidden="1"/>
    <cellStyle name="Lien hypertexte visité" xfId="130" builtinId="9" hidden="1"/>
    <cellStyle name="Lien hypertexte visité" xfId="132" builtinId="9" hidden="1"/>
    <cellStyle name="Lien hypertexte visité" xfId="134" builtinId="9" hidden="1"/>
    <cellStyle name="Lien hypertexte visité" xfId="136" builtinId="9" hidden="1"/>
    <cellStyle name="Lien hypertexte visité" xfId="138" builtinId="9" hidden="1"/>
    <cellStyle name="Lien hypertexte visité" xfId="140" builtinId="9" hidden="1"/>
    <cellStyle name="Lien hypertexte visité" xfId="142" builtinId="9" hidden="1"/>
    <cellStyle name="Lien hypertexte visité" xfId="144" builtinId="9" hidden="1"/>
    <cellStyle name="Lien hypertexte visité" xfId="146" builtinId="9" hidden="1"/>
    <cellStyle name="Lien hypertexte visité" xfId="148" builtinId="9" hidden="1"/>
    <cellStyle name="Lien hypertexte visité" xfId="150" builtinId="9" hidden="1"/>
    <cellStyle name="Lien hypertexte visité" xfId="152" builtinId="9" hidden="1"/>
    <cellStyle name="Lien hypertexte visité" xfId="154" builtinId="9" hidden="1"/>
    <cellStyle name="Lien hypertexte visité" xfId="156" builtinId="9" hidden="1"/>
    <cellStyle name="Lien hypertexte visité" xfId="158" builtinId="9" hidden="1"/>
    <cellStyle name="Lien hypertexte visité" xfId="160" builtinId="9" hidden="1"/>
    <cellStyle name="Lien hypertexte visité" xfId="162" builtinId="9" hidden="1"/>
    <cellStyle name="Lien hypertexte visité" xfId="164" builtinId="9" hidden="1"/>
    <cellStyle name="Lien hypertexte visité" xfId="166" builtinId="9" hidden="1"/>
    <cellStyle name="Lien hypertexte visité" xfId="168" builtinId="9" hidden="1"/>
    <cellStyle name="Lien hypertexte visité" xfId="170" builtinId="9" hidden="1"/>
    <cellStyle name="Lien hypertexte visité" xfId="172" builtinId="9" hidden="1"/>
    <cellStyle name="Lien hypertexte visité" xfId="174" builtinId="9" hidden="1"/>
    <cellStyle name="Lien hypertexte visité" xfId="176" builtinId="9" hidden="1"/>
    <cellStyle name="Lien hypertexte visité" xfId="178" builtinId="9" hidden="1"/>
    <cellStyle name="Lien hypertexte visité" xfId="180" builtinId="9" hidden="1"/>
    <cellStyle name="Lien hypertexte visité" xfId="182" builtinId="9" hidden="1"/>
    <cellStyle name="Lien hypertexte visité" xfId="184" builtinId="9" hidden="1"/>
    <cellStyle name="Lien hypertexte visité" xfId="186" builtinId="9" hidden="1"/>
    <cellStyle name="Lien hypertexte visité" xfId="188" builtinId="9" hidden="1"/>
    <cellStyle name="Lien hypertexte visité" xfId="190" builtinId="9" hidden="1"/>
    <cellStyle name="Lien hypertexte visité" xfId="192" builtinId="9" hidden="1"/>
    <cellStyle name="Lien hypertexte visité" xfId="194" builtinId="9" hidden="1"/>
    <cellStyle name="Lien hypertexte visité" xfId="196" builtinId="9" hidden="1"/>
    <cellStyle name="Lien hypertexte visité" xfId="198" builtinId="9" hidden="1"/>
    <cellStyle name="Lien hypertexte visité" xfId="200" builtinId="9" hidden="1"/>
    <cellStyle name="Lien hypertexte visité" xfId="202" builtinId="9" hidden="1"/>
    <cellStyle name="Lien hypertexte visité" xfId="204" builtinId="9" hidden="1"/>
    <cellStyle name="Lien hypertexte visité" xfId="206" builtinId="9" hidden="1"/>
    <cellStyle name="Lien hypertexte visité" xfId="208" builtinId="9" hidden="1"/>
    <cellStyle name="Lien hypertexte visité" xfId="210" builtinId="9" hidden="1"/>
    <cellStyle name="Lien hypertexte visité" xfId="212" builtinId="9" hidden="1"/>
    <cellStyle name="Lien hypertexte visité" xfId="214" builtinId="9" hidden="1"/>
    <cellStyle name="Lien hypertexte visité" xfId="216" builtinId="9" hidden="1"/>
    <cellStyle name="Lien hypertexte visité" xfId="218" builtinId="9" hidden="1"/>
    <cellStyle name="Lien hypertexte visité" xfId="220" builtinId="9" hidden="1"/>
    <cellStyle name="Lien hypertexte visité" xfId="222" builtinId="9" hidden="1"/>
    <cellStyle name="Lien hypertexte visité" xfId="224" builtinId="9" hidden="1"/>
    <cellStyle name="Lien hypertexte visité" xfId="226" builtinId="9" hidden="1"/>
    <cellStyle name="Lien hypertexte visité" xfId="228" builtinId="9" hidden="1"/>
    <cellStyle name="Lien hypertexte visité" xfId="230" builtinId="9" hidden="1"/>
    <cellStyle name="Lien hypertexte visité" xfId="232" builtinId="9" hidden="1"/>
    <cellStyle name="Lien hypertexte visité" xfId="234" builtinId="9" hidden="1"/>
    <cellStyle name="Lien hypertexte visité" xfId="236" builtinId="9" hidden="1"/>
    <cellStyle name="Lien hypertexte visité" xfId="238" builtinId="9" hidden="1"/>
    <cellStyle name="Lien hypertexte visité" xfId="240" builtinId="9" hidden="1"/>
    <cellStyle name="Lien hypertexte visité" xfId="242" builtinId="9" hidden="1"/>
    <cellStyle name="Lien hypertexte visité" xfId="244" builtinId="9" hidden="1"/>
    <cellStyle name="Lien hypertexte visité" xfId="246" builtinId="9" hidden="1"/>
    <cellStyle name="Lien hypertexte visité" xfId="248" builtinId="9" hidden="1"/>
    <cellStyle name="Lien hypertexte visité" xfId="250" builtinId="9" hidden="1"/>
    <cellStyle name="Lien hypertexte visité" xfId="252" builtinId="9" hidden="1"/>
    <cellStyle name="Lien hypertexte visité" xfId="254" builtinId="9" hidden="1"/>
    <cellStyle name="Lien hypertexte visité" xfId="256" builtinId="9" hidden="1"/>
    <cellStyle name="Lien hypertexte visité" xfId="258" builtinId="9" hidden="1"/>
    <cellStyle name="Lien hypertexte visité" xfId="260" builtinId="9" hidden="1"/>
    <cellStyle name="Lien hypertexte visité" xfId="262" builtinId="9" hidden="1"/>
    <cellStyle name="Lien hypertexte visité" xfId="264" builtinId="9" hidden="1"/>
    <cellStyle name="Lien hypertexte visité" xfId="266" builtinId="9" hidden="1"/>
    <cellStyle name="Lien hypertexte visité" xfId="268" builtinId="9" hidden="1"/>
    <cellStyle name="Lien hypertexte visité" xfId="270" builtinId="9" hidden="1"/>
    <cellStyle name="Lien hypertexte visité" xfId="272" builtinId="9" hidden="1"/>
    <cellStyle name="Lien hypertexte visité" xfId="274" builtinId="9" hidden="1"/>
    <cellStyle name="Lien hypertexte visité" xfId="276" builtinId="9" hidden="1"/>
    <cellStyle name="Lien hypertexte visité" xfId="278" builtinId="9" hidden="1"/>
    <cellStyle name="Lien hypertexte visité" xfId="280" builtinId="9" hidden="1"/>
    <cellStyle name="Lien hypertexte visité" xfId="282" builtinId="9" hidden="1"/>
    <cellStyle name="Lien hypertexte visité" xfId="284" builtinId="9" hidden="1"/>
    <cellStyle name="Lien hypertexte visité" xfId="286" builtinId="9" hidden="1"/>
    <cellStyle name="Lien hypertexte visité" xfId="288" builtinId="9" hidden="1"/>
    <cellStyle name="Lien hypertexte visité" xfId="290" builtinId="9" hidden="1"/>
    <cellStyle name="Lien hypertexte visité" xfId="292" builtinId="9" hidden="1"/>
    <cellStyle name="Lien hypertexte visité" xfId="294" builtinId="9" hidden="1"/>
    <cellStyle name="Lien hypertexte visité" xfId="296" builtinId="9" hidden="1"/>
    <cellStyle name="Lien hypertexte visité" xfId="298" builtinId="9" hidden="1"/>
    <cellStyle name="Lien hypertexte visité" xfId="300" builtinId="9" hidden="1"/>
    <cellStyle name="Lien hypertexte visité" xfId="302" builtinId="9" hidden="1"/>
    <cellStyle name="Lien hypertexte visité" xfId="304" builtinId="9" hidden="1"/>
    <cellStyle name="Lien hypertexte visité" xfId="306" builtinId="9" hidden="1"/>
    <cellStyle name="Lien hypertexte visité" xfId="308" builtinId="9" hidden="1"/>
    <cellStyle name="Normal" xfId="0" builtinId="0"/>
  </cellStyles>
  <dxfs count="363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charset val="1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charset val="1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solid">
          <fgColor indexed="64"/>
          <bgColor theme="3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solid">
          <fgColor indexed="64"/>
          <bgColor theme="3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solid">
          <fgColor indexed="64"/>
          <bgColor theme="3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solid">
          <fgColor indexed="64"/>
          <bgColor theme="3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solid">
          <fgColor indexed="64"/>
          <bgColor theme="3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indexed="8"/>
        </lef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indexed="8"/>
        </left>
        <right style="thin">
          <color indexed="8"/>
        </right>
        <top style="medium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medium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medium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solid">
          <fgColor indexed="64"/>
          <bgColor theme="3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medium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8"/>
        </top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Calibri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8"/>
        </left>
        <right/>
        <top style="thin">
          <color indexed="8"/>
        </top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top style="thin">
          <color indexed="8"/>
        </top>
      </border>
    </dxf>
    <dxf>
      <border outline="0">
        <right style="thin">
          <color indexed="8"/>
        </right>
        <top style="thin">
          <color indexed="8"/>
        </top>
      </border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omic Sans MS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omic Sans MS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1" formatCode="0"/>
      <fill>
        <patternFill patternType="solid">
          <fgColor indexed="26"/>
          <bgColor indexed="9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border outline="0">
        <left style="thin">
          <color indexed="8"/>
        </left>
      </border>
    </dxf>
    <dxf>
      <fill>
        <patternFill patternType="none">
          <fgColor indexed="64"/>
          <bgColor auto="1"/>
        </patternFill>
      </fill>
    </dxf>
    <dxf>
      <border outline="0">
        <left style="medium">
          <color indexed="8"/>
        </left>
      </border>
    </dxf>
    <dxf>
      <border outline="0">
        <bottom style="medium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omic Sans MS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omic Sans MS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1" formatCode="0"/>
      <fill>
        <patternFill patternType="solid">
          <fgColor indexed="26"/>
          <bgColor indexed="9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8"/>
        </right>
        <top style="thin">
          <color indexed="8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/>
        <vertical/>
        <horizontal/>
      </border>
    </dxf>
    <dxf>
      <border outline="0">
        <top style="medium">
          <color indexed="8"/>
        </top>
      </border>
    </dxf>
    <dxf>
      <border outline="0">
        <bottom style="medium">
          <color indexed="8"/>
        </bottom>
      </border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127000</xdr:colOff>
      <xdr:row>0</xdr:row>
      <xdr:rowOff>12700</xdr:rowOff>
    </xdr:from>
    <xdr:to>
      <xdr:col>1</xdr:col>
      <xdr:colOff>1066800</xdr:colOff>
      <xdr:row>0</xdr:row>
      <xdr:rowOff>965200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12700"/>
          <a:ext cx="128270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728382</xdr:colOff>
      <xdr:row>5</xdr:row>
      <xdr:rowOff>235324</xdr:rowOff>
    </xdr:from>
    <xdr:to>
      <xdr:col>19</xdr:col>
      <xdr:colOff>123265</xdr:colOff>
      <xdr:row>10</xdr:row>
      <xdr:rowOff>156882</xdr:rowOff>
    </xdr:to>
    <xdr:sp macro="[0]!TriParNomAll" textlink="">
      <xdr:nvSpPr>
        <xdr:cNvPr id="9" name="Rectangle à coins arrondis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3884088" y="3171265"/>
          <a:ext cx="1680883" cy="907676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800" b="1"/>
            <a:t>TRI PAR SCORE</a:t>
          </a:r>
        </a:p>
      </xdr:txBody>
    </xdr:sp>
    <xdr:clientData/>
  </xdr:twoCellAnchor>
  <xdr:twoCellAnchor>
    <xdr:from>
      <xdr:col>16</xdr:col>
      <xdr:colOff>717176</xdr:colOff>
      <xdr:row>11</xdr:row>
      <xdr:rowOff>235324</xdr:rowOff>
    </xdr:from>
    <xdr:to>
      <xdr:col>19</xdr:col>
      <xdr:colOff>179294</xdr:colOff>
      <xdr:row>17</xdr:row>
      <xdr:rowOff>56029</xdr:rowOff>
    </xdr:to>
    <xdr:sp macro="[0]!TriParNom" textlink="">
      <xdr:nvSpPr>
        <xdr:cNvPr id="11" name="Rectangle à coins arrondis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3872882" y="4403912"/>
          <a:ext cx="1748118" cy="907676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2000" b="1"/>
            <a:t>TRI PAR NOM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127000</xdr:colOff>
      <xdr:row>0</xdr:row>
      <xdr:rowOff>12700</xdr:rowOff>
    </xdr:from>
    <xdr:to>
      <xdr:col>1</xdr:col>
      <xdr:colOff>1066800</xdr:colOff>
      <xdr:row>0</xdr:row>
      <xdr:rowOff>965200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12700"/>
          <a:ext cx="1538514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&#169;\AppData\Local\Microsoft\Windows\INetCache\Content.Outlook\NAWWGR4O\FICHIER%20ADHERENTS%20AS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inscrits 2023"/>
      <sheetName val="PAIEMENTS"/>
      <sheetName val="PAR CATEGORIES"/>
      <sheetName val="EQUIPES"/>
    </sheetNames>
    <sheetDataSet>
      <sheetData sheetId="0">
        <row r="1">
          <cell r="A1" t="str">
            <v>NOM Prénom</v>
          </cell>
        </row>
      </sheetData>
      <sheetData sheetId="1"/>
      <sheetData sheetId="2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B4:P81" totalsRowShown="0" headerRowBorderDxfId="362" tableBorderDxfId="361">
  <autoFilter ref="B4:P81" xr:uid="{00000000-0009-0000-0100-000001000000}"/>
  <sortState xmlns:xlrd2="http://schemas.microsoft.com/office/spreadsheetml/2017/richdata2" ref="B5:P81">
    <sortCondition ref="O5"/>
  </sortState>
  <tableColumns count="15">
    <tableColumn id="1" xr3:uid="{00000000-0010-0000-0000-000001000000}" name="NOM" dataDxfId="360"/>
    <tableColumn id="2" xr3:uid="{00000000-0010-0000-0000-000002000000}" name="PRENOM" dataDxfId="359"/>
    <tableColumn id="3" xr3:uid="{00000000-0010-0000-0000-000003000000}" name="CLUB"/>
    <tableColumn id="4" xr3:uid="{00000000-0010-0000-0000-000004000000}" name="Score_x000a_MONTPENSIER_x000a_27/03/25" dataDxfId="358">
      <calculatedColumnFormula>_xlfn.IFNA(VLOOKUP(TRIM(CONCATENATE(Tableau1[[#This Row],[PRENOM]],Tableau1[[#This Row],[NOM]])),'T1'!$C$5:$E$106,3,FALSE),90)</calculatedColumnFormula>
    </tableColumn>
    <tableColumn id="5" xr3:uid="{00000000-0010-0000-0000-000005000000}" name="Score_x000a_VAL D'AUZON_x000a_17/04/25" dataDxfId="357">
      <calculatedColumnFormula>_xlfn.IFNA(VLOOKUP(TRIM(CONCATENATE(Tableau1[[#This Row],[PRENOM]],Tableau1[[#This Row],[NOM]])),'T2'!$C$5:$E$111,3,FALSE),90)</calculatedColumnFormula>
    </tableColumn>
    <tableColumn id="6" xr3:uid="{00000000-0010-0000-0000-000006000000}" name="Score_x000a_MAURIAC_x000a_05/06/25" dataDxfId="356">
      <calculatedColumnFormula>_xlfn.IFNA(VLOOKUP(TRIM(CONCATENATE(Tableau1[[#This Row],[PRENOM]],Tableau1[[#This Row],[NOM]])),'T3'!$C$5:$E$107,3,FALSE),90)</calculatedColumnFormula>
    </tableColumn>
    <tableColumn id="7" xr3:uid="{00000000-0010-0000-0000-000007000000}" name="Score_x000a_MONT DORE_x000a_26/07/25" dataDxfId="355">
      <calculatedColumnFormula>_xlfn.IFNA(VLOOKUP(TRIM(CONCATENATE(Tableau1[[#This Row],[PRENOM]],Tableau1[[#This Row],[NOM]])),'T4'!$C$5:$E$108,3,FALSE),90)</calculatedColumnFormula>
    </tableColumn>
    <tableColumn id="8" xr3:uid="{00000000-0010-0000-0000-000008000000}" name="Score_x000a_LES VOLCANS_x000a_28/08/25" dataDxfId="354">
      <calculatedColumnFormula>_xlfn.IFNA(VLOOKUP(TRIM(CONCATENATE(Tableau1[[#This Row],[PRENOM]],Tableau1[[#This Row],[NOM]])),'T5'!$C$5:$E$105,3,FALSE),90)</calculatedColumnFormula>
    </tableColumn>
    <tableColumn id="9" xr3:uid="{00000000-0010-0000-0000-000009000000}" name="Score_x000a_RIOM_x000a_04/09/25" dataDxfId="353">
      <calculatedColumnFormula>_xlfn.IFNA(VLOOKUP(TRIM(CONCATENATE(Tableau1[[#This Row],[PRENOM]],Tableau1[[#This Row],[NOM]])),'T6'!$C$5:$E$118,3,FALSE),90)</calculatedColumnFormula>
    </tableColumn>
    <tableColumn id="10" xr3:uid="{00000000-0010-0000-0000-00000A000000}" name="Score_x000a_CHARADE_x000a_25/09/25" dataDxfId="352">
      <calculatedColumnFormula>_xlfn.IFNA(VLOOKUP(TRIM(CONCATENATE(Tableau1[[#This Row],[PRENOM]],Tableau1[[#This Row],[NOM]])),'T7'!$C$5:$E$106,3,FALSE),90)</calculatedColumnFormula>
    </tableColumn>
    <tableColumn id="11" xr3:uid="{00000000-0010-0000-0000-00000B000000}" name="Score_x000a_Total" dataDxfId="351">
      <calculatedColumnFormula>SUM(E5:K5)</calculatedColumnFormula>
    </tableColumn>
    <tableColumn id="12" xr3:uid="{00000000-0010-0000-0000-00000C000000}" name="1 er     SCORE_x000a_Retiré" dataDxfId="350">
      <calculatedColumnFormula>LARGE(E5:K5,1)</calculatedColumnFormula>
    </tableColumn>
    <tableColumn id="13" xr3:uid="{00000000-0010-0000-0000-00000D000000}" name="2 ème    SCORE_x000a_Retiré" dataDxfId="349">
      <calculatedColumnFormula>LARGE(E5:K5,2)</calculatedColumnFormula>
    </tableColumn>
    <tableColumn id="14" xr3:uid="{00000000-0010-0000-0000-00000E000000}" name="SCORE_x000a_Final _x000a_2025" dataDxfId="348">
      <calculatedColumnFormula>L5-M5-N5</calculatedColumnFormula>
    </tableColumn>
    <tableColumn id="15" xr3:uid="{00000000-0010-0000-0000-00000F000000}" name="Classement" dataDxfId="347">
      <calculatedColumnFormula>RANK(Tableau1[[#This Row],[SCORE
Final 
2025]],Tableau1[SCORE
Final 
2025],1)</calculatedColumnFormula>
    </tableColumn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9000000}" name="Tableau9" displayName="Tableau9" ref="A71:E77" totalsRowShown="0" tableBorderDxfId="281">
  <autoFilter ref="A71:E77" xr:uid="{00000000-0009-0000-0100-000009000000}"/>
  <tableColumns count="5">
    <tableColumn id="1" xr3:uid="{00000000-0010-0000-0900-000001000000}" name="NOM " dataDxfId="280"/>
    <tableColumn id="2" xr3:uid="{00000000-0010-0000-0900-000002000000}" name="PRENOM" dataDxfId="279"/>
    <tableColumn id="3" xr3:uid="{00000000-0010-0000-0900-000003000000}" name="Colonne1" dataDxfId="278">
      <calculatedColumnFormula>TRIM(CONCATENATE(B72,A72))</calculatedColumnFormula>
    </tableColumn>
    <tableColumn id="6" xr3:uid="{00000000-0010-0000-0900-000006000000}" name="Catégorie" dataDxfId="277"/>
    <tableColumn id="5" xr3:uid="{00000000-0010-0000-0900-000005000000}" name="BRUT" dataDxfId="276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au11" displayName="Tableau11" ref="O6:Q13" totalsRowShown="0" tableBorderDxfId="275">
  <autoFilter ref="O6:Q13" xr:uid="{00000000-0009-0000-0100-00000B000000}"/>
  <tableColumns count="3">
    <tableColumn id="1" xr3:uid="{00000000-0010-0000-0A00-000001000000}" name="EQUIPES" dataDxfId="274"/>
    <tableColumn id="2" xr3:uid="{00000000-0010-0000-0A00-000002000000}" name="SCORE Brut" dataDxfId="273"/>
    <tableColumn id="3" xr3:uid="{00000000-0010-0000-0A00-000003000000}" name="CLASSEMENT" dataDxfId="272">
      <calculatedColumnFormula>RANK(P7, P$7:P$13, 1) + COUNTIF(P$7:P7, P7) - 1</calculatedColumnFormula>
    </tableColumn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au313" displayName="Tableau313" ref="A4:E13" totalsRowShown="0" tableBorderDxfId="271">
  <autoFilter ref="A4:E13" xr:uid="{00000000-0009-0000-0100-00000C000000}"/>
  <tableColumns count="5">
    <tableColumn id="1" xr3:uid="{00000000-0010-0000-0B00-000001000000}" name="NOM " dataDxfId="270"/>
    <tableColumn id="2" xr3:uid="{00000000-0010-0000-0B00-000002000000}" name="PRENOM" dataDxfId="269"/>
    <tableColumn id="3" xr3:uid="{00000000-0010-0000-0B00-000003000000}" name="Colonne1" dataDxfId="268">
      <calculatedColumnFormula>TRIM(CONCATENATE(B5,A5))</calculatedColumnFormula>
    </tableColumn>
    <tableColumn id="6" xr3:uid="{00000000-0010-0000-0B00-000006000000}" name="Catégorie" dataDxfId="267"/>
    <tableColumn id="5" xr3:uid="{00000000-0010-0000-0B00-000005000000}" name="BRUT" dataDxfId="266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au414" displayName="Tableau414" ref="A17:E31" totalsRowShown="0" tableBorderDxfId="265">
  <autoFilter ref="A17:E31" xr:uid="{00000000-0009-0000-0100-00000D000000}"/>
  <tableColumns count="5">
    <tableColumn id="1" xr3:uid="{00000000-0010-0000-0C00-000001000000}" name="NOM " dataDxfId="264"/>
    <tableColumn id="2" xr3:uid="{00000000-0010-0000-0C00-000002000000}" name="PRENOM" dataDxfId="263"/>
    <tableColumn id="3" xr3:uid="{00000000-0010-0000-0C00-000003000000}" name="Colonne1" dataDxfId="262">
      <calculatedColumnFormula>TRIM(CONCATENATE(B18,A18))</calculatedColumnFormula>
    </tableColumn>
    <tableColumn id="6" xr3:uid="{00000000-0010-0000-0C00-000006000000}" name="Catégorie" dataDxfId="261"/>
    <tableColumn id="5" xr3:uid="{00000000-0010-0000-0C00-000005000000}" name="BRUT" dataDxfId="260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au515" displayName="Tableau515" ref="A35:E38" totalsRowShown="0" tableBorderDxfId="259">
  <autoFilter ref="A35:E38" xr:uid="{00000000-0009-0000-0100-00000E000000}"/>
  <tableColumns count="5">
    <tableColumn id="1" xr3:uid="{00000000-0010-0000-0D00-000001000000}" name="NOM " dataDxfId="258"/>
    <tableColumn id="2" xr3:uid="{00000000-0010-0000-0D00-000002000000}" name="PRENOM" dataDxfId="257"/>
    <tableColumn id="3" xr3:uid="{00000000-0010-0000-0D00-000003000000}" name="Colonne1" dataDxfId="256">
      <calculatedColumnFormula>TRIM(CONCATENATE(B36,A36))</calculatedColumnFormula>
    </tableColumn>
    <tableColumn id="6" xr3:uid="{00000000-0010-0000-0D00-000006000000}" name="Catégorie" dataDxfId="255"/>
    <tableColumn id="5" xr3:uid="{00000000-0010-0000-0D00-000005000000}" name="BRUT" dataDxfId="254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au616" displayName="Tableau616" ref="A42:E60" totalsRowShown="0" tableBorderDxfId="253">
  <autoFilter ref="A42:E60" xr:uid="{00000000-0009-0000-0100-00000F000000}"/>
  <tableColumns count="5">
    <tableColumn id="1" xr3:uid="{00000000-0010-0000-0E00-000001000000}" name="NOM " dataDxfId="252"/>
    <tableColumn id="2" xr3:uid="{00000000-0010-0000-0E00-000002000000}" name="PRENOM" dataDxfId="251"/>
    <tableColumn id="3" xr3:uid="{00000000-0010-0000-0E00-000003000000}" name="Colonne1" dataDxfId="250">
      <calculatedColumnFormula>TRIM(CONCATENATE(B43,A43))</calculatedColumnFormula>
    </tableColumn>
    <tableColumn id="6" xr3:uid="{00000000-0010-0000-0E00-000006000000}" name="Catégorie" dataDxfId="249"/>
    <tableColumn id="5" xr3:uid="{00000000-0010-0000-0E00-000005000000}" name="BRUT" dataDxfId="248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au717" displayName="Tableau717" ref="A64:E74" totalsRowShown="0" tableBorderDxfId="247">
  <autoFilter ref="A64:E74" xr:uid="{00000000-0009-0000-0100-000010000000}"/>
  <tableColumns count="5">
    <tableColumn id="1" xr3:uid="{00000000-0010-0000-0F00-000001000000}" name="NOM " dataDxfId="246"/>
    <tableColumn id="2" xr3:uid="{00000000-0010-0000-0F00-000002000000}" name="PRENOM" dataDxfId="245"/>
    <tableColumn id="3" xr3:uid="{00000000-0010-0000-0F00-000003000000}" name="Colonne1" dataDxfId="244">
      <calculatedColumnFormula>TRIM(CONCATENATE(B65,A65))</calculatedColumnFormula>
    </tableColumn>
    <tableColumn id="6" xr3:uid="{00000000-0010-0000-0F00-000006000000}" name="Catégorie" dataDxfId="243"/>
    <tableColumn id="5" xr3:uid="{00000000-0010-0000-0F00-000005000000}" name="BRUT" dataDxfId="242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eau818" displayName="Tableau818" ref="A78:E81" totalsRowShown="0" tableBorderDxfId="241">
  <autoFilter ref="A78:E81" xr:uid="{00000000-0009-0000-0100-000011000000}"/>
  <tableColumns count="5">
    <tableColumn id="1" xr3:uid="{00000000-0010-0000-1000-000001000000}" name="NOM " dataDxfId="240"/>
    <tableColumn id="2" xr3:uid="{00000000-0010-0000-1000-000002000000}" name="PRENOM" dataDxfId="239"/>
    <tableColumn id="3" xr3:uid="{00000000-0010-0000-1000-000003000000}" name="Colonne1" dataDxfId="238">
      <calculatedColumnFormula>TRIM(CONCATENATE(B79,A79))</calculatedColumnFormula>
    </tableColumn>
    <tableColumn id="6" xr3:uid="{00000000-0010-0000-1000-000006000000}" name="Catégorie" dataDxfId="237"/>
    <tableColumn id="5" xr3:uid="{00000000-0010-0000-1000-000005000000}" name="BRUT" dataDxfId="236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leau919" displayName="Tableau919" ref="A85:E89" totalsRowShown="0" tableBorderDxfId="235">
  <autoFilter ref="A85:E89" xr:uid="{00000000-0009-0000-0100-000012000000}"/>
  <tableColumns count="5">
    <tableColumn id="1" xr3:uid="{00000000-0010-0000-1100-000001000000}" name="NOM " dataDxfId="234"/>
    <tableColumn id="2" xr3:uid="{00000000-0010-0000-1100-000002000000}" name="PRENOM" dataDxfId="233"/>
    <tableColumn id="3" xr3:uid="{00000000-0010-0000-1100-000003000000}" name="Colonne1" dataDxfId="232">
      <calculatedColumnFormula>TRIM(CONCATENATE(B86,A86))</calculatedColumnFormula>
    </tableColumn>
    <tableColumn id="6" xr3:uid="{00000000-0010-0000-1100-000006000000}" name="Catégorie" dataDxfId="231"/>
    <tableColumn id="5" xr3:uid="{00000000-0010-0000-1100-000005000000}" name="BRUT" dataDxfId="230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leau1120" displayName="Tableau1120" ref="O6:Q13" totalsRowShown="0" tableBorderDxfId="229">
  <autoFilter ref="O6:Q13" xr:uid="{00000000-0009-0000-0100-000013000000}"/>
  <tableColumns count="3">
    <tableColumn id="1" xr3:uid="{00000000-0010-0000-1200-000001000000}" name="EQUIPES" dataDxfId="228"/>
    <tableColumn id="2" xr3:uid="{00000000-0010-0000-1200-000002000000}" name="SCORE Brut" dataDxfId="227"/>
    <tableColumn id="3" xr3:uid="{00000000-0010-0000-1200-000003000000}" name="CLASSEMENT" dataDxfId="226">
      <calculatedColumnFormula>RANK(P7, P$7:P$13, 1) + COUNTIF(P$7:P7, P7) - 1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au2" displayName="Tableau2" ref="B84:P130" totalsRowShown="0" headerRowBorderDxfId="346" tableBorderDxfId="345">
  <autoFilter ref="B84:P130" xr:uid="{00000000-0009-0000-0100-000002000000}"/>
  <sortState xmlns:xlrd2="http://schemas.microsoft.com/office/spreadsheetml/2017/richdata2" ref="B85:P130">
    <sortCondition ref="O85"/>
  </sortState>
  <tableColumns count="15">
    <tableColumn id="1" xr3:uid="{00000000-0010-0000-0100-000001000000}" name="NOM" dataDxfId="344"/>
    <tableColumn id="2" xr3:uid="{00000000-0010-0000-0100-000002000000}" name="PRENOM" dataDxfId="343"/>
    <tableColumn id="3" xr3:uid="{00000000-0010-0000-0100-000003000000}" name="CLUB"/>
    <tableColumn id="4" xr3:uid="{00000000-0010-0000-0100-000004000000}" name="Score_x000a_MONTPENSIER_x000a_27/03/25" dataDxfId="342">
      <calculatedColumnFormula>_xlfn.IFNA(VLOOKUP(TRIM(CONCATENATE(Tableau2[[#This Row],[PRENOM]],Tableau2[[#This Row],[NOM]])),'T1'!$C$5:$E$106,3,FALSE),90)</calculatedColumnFormula>
    </tableColumn>
    <tableColumn id="5" xr3:uid="{00000000-0010-0000-0100-000005000000}" name="Score_x000a_VAL D'AUZON_x000a_17/04/25" dataDxfId="341">
      <calculatedColumnFormula>_xlfn.IFNA(VLOOKUP(TRIM(CONCATENATE(Tableau2[[#This Row],[PRENOM]],Tableau2[[#This Row],[NOM]])),'T2'!$C$5:$E$111,3,FALSE),90)</calculatedColumnFormula>
    </tableColumn>
    <tableColumn id="6" xr3:uid="{00000000-0010-0000-0100-000006000000}" name="Score_x000a_MAURIAC_x000a_05/06/25" dataDxfId="340">
      <calculatedColumnFormula>_xlfn.IFNA(VLOOKUP(TRIM(CONCATENATE(Tableau2[[#This Row],[PRENOM]],Tableau2[[#This Row],[NOM]])),'T3'!$C$5:$E$107,3,FALSE),90)</calculatedColumnFormula>
    </tableColumn>
    <tableColumn id="7" xr3:uid="{00000000-0010-0000-0100-000007000000}" name="Score_x000a_MONT DORE_x000a_26/07/25" dataDxfId="339">
      <calculatedColumnFormula>_xlfn.IFNA(VLOOKUP(TRIM(CONCATENATE(Tableau2[[#This Row],[PRENOM]],Tableau2[[#This Row],[NOM]])),'T4'!$C$5:$E$108,3,FALSE),90)</calculatedColumnFormula>
    </tableColumn>
    <tableColumn id="8" xr3:uid="{00000000-0010-0000-0100-000008000000}" name="Score_x000a_LES VOLCANS_x000a_28/08/25" dataDxfId="338">
      <calculatedColumnFormula>_xlfn.IFNA(VLOOKUP(TRIM(CONCATENATE(Tableau2[[#This Row],[PRENOM]],Tableau2[[#This Row],[NOM]])),'T5'!$C$5:$E$105,3,FALSE),90)</calculatedColumnFormula>
    </tableColumn>
    <tableColumn id="9" xr3:uid="{00000000-0010-0000-0100-000009000000}" name="Score_x000a_RIOM_x000a_04/09/25" dataDxfId="337">
      <calculatedColumnFormula>_xlfn.IFNA(VLOOKUP(TRIM(CONCATENATE(Tableau2[[#This Row],[PRENOM]],Tableau2[[#This Row],[NOM]])),'T6'!$C$5:$E$118,3,FALSE),90)</calculatedColumnFormula>
    </tableColumn>
    <tableColumn id="10" xr3:uid="{00000000-0010-0000-0100-00000A000000}" name="Score_x000a_CHARADE_x000a_25/09/25" dataDxfId="336">
      <calculatedColumnFormula>_xlfn.IFNA(VLOOKUP(TRIM(CONCATENATE(Tableau2[[#This Row],[PRENOM]],Tableau2[[#This Row],[NOM]])),'T7'!$C$5:$E$106,3,FALSE),90)</calculatedColumnFormula>
    </tableColumn>
    <tableColumn id="11" xr3:uid="{00000000-0010-0000-0100-00000B000000}" name="Score_x000a_Total" dataDxfId="335">
      <calculatedColumnFormula>SUM(E85:K85)</calculatedColumnFormula>
    </tableColumn>
    <tableColumn id="12" xr3:uid="{00000000-0010-0000-0100-00000C000000}" name="1 er     SCORE_x000a_Retiré" dataDxfId="334">
      <calculatedColumnFormula>LARGE(E85:K85,1)</calculatedColumnFormula>
    </tableColumn>
    <tableColumn id="13" xr3:uid="{00000000-0010-0000-0100-00000D000000}" name="2 ème    SCORE_x000a_Retiré" dataDxfId="333">
      <calculatedColumnFormula>LARGE(E85:K85,2)</calculatedColumnFormula>
    </tableColumn>
    <tableColumn id="14" xr3:uid="{00000000-0010-0000-0100-00000E000000}" name="SCORE_x000a_Final _x000a_2024" dataDxfId="332">
      <calculatedColumnFormula>L85-M85-N85</calculatedColumnFormula>
    </tableColumn>
    <tableColumn id="15" xr3:uid="{00000000-0010-0000-0100-00000F000000}" name="Classement" dataDxfId="331">
      <calculatedColumnFormula>RANK(Tableau2[[#This Row],[SCORE
Final 
2024]],Tableau2[SCORE
Final 
2024],1)</calculatedColumnFormula>
    </tableColumn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eau31321" displayName="Tableau31321" ref="A4:E10" totalsRowShown="0" tableBorderDxfId="225">
  <autoFilter ref="A4:E10" xr:uid="{00000000-0009-0000-0100-000014000000}"/>
  <tableColumns count="5">
    <tableColumn id="1" xr3:uid="{00000000-0010-0000-1300-000001000000}" name="NOM " dataDxfId="224"/>
    <tableColumn id="2" xr3:uid="{00000000-0010-0000-1300-000002000000}" name="PRENOM" dataDxfId="223"/>
    <tableColumn id="3" xr3:uid="{00000000-0010-0000-1300-000003000000}" name="Colonne1" dataDxfId="222">
      <calculatedColumnFormula>TRIM(CONCATENATE(B5,A5))</calculatedColumnFormula>
    </tableColumn>
    <tableColumn id="6" xr3:uid="{00000000-0010-0000-1300-000006000000}" name="Catégorie" dataDxfId="221"/>
    <tableColumn id="5" xr3:uid="{00000000-0010-0000-1300-000005000000}" name="BRUT" dataDxfId="220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eau41422" displayName="Tableau41422" ref="A14:E23" totalsRowShown="0" tableBorderDxfId="219">
  <autoFilter ref="A14:E23" xr:uid="{00000000-0009-0000-0100-000015000000}"/>
  <tableColumns count="5">
    <tableColumn id="1" xr3:uid="{00000000-0010-0000-1400-000001000000}" name="NOM " dataDxfId="218"/>
    <tableColumn id="2" xr3:uid="{00000000-0010-0000-1400-000002000000}" name="PRENOM" dataDxfId="217"/>
    <tableColumn id="3" xr3:uid="{00000000-0010-0000-1400-000003000000}" name="Colonne1" dataDxfId="216">
      <calculatedColumnFormula>TRIM(CONCATENATE(B15,A15))</calculatedColumnFormula>
    </tableColumn>
    <tableColumn id="6" xr3:uid="{00000000-0010-0000-1400-000006000000}" name="Catégorie" dataDxfId="215"/>
    <tableColumn id="5" xr3:uid="{00000000-0010-0000-1400-000005000000}" name="BRUT" dataDxfId="214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eau51523" displayName="Tableau51523" ref="A27:E31" totalsRowShown="0" tableBorderDxfId="213">
  <autoFilter ref="A27:E31" xr:uid="{00000000-0009-0000-0100-000016000000}"/>
  <tableColumns count="5">
    <tableColumn id="1" xr3:uid="{00000000-0010-0000-1500-000001000000}" name="NOM " dataDxfId="212"/>
    <tableColumn id="2" xr3:uid="{00000000-0010-0000-1500-000002000000}" name="PRENOM" dataDxfId="211"/>
    <tableColumn id="3" xr3:uid="{00000000-0010-0000-1500-000003000000}" name="Colonne1" dataDxfId="210">
      <calculatedColumnFormula>TRIM(CONCATENATE(B28,A28))</calculatedColumnFormula>
    </tableColumn>
    <tableColumn id="6" xr3:uid="{00000000-0010-0000-1500-000006000000}" name="Catégorie" dataDxfId="209"/>
    <tableColumn id="5" xr3:uid="{00000000-0010-0000-1500-000005000000}" name="BRUT" dataDxfId="208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au61624" displayName="Tableau61624" ref="A35:E45" totalsRowShown="0" tableBorderDxfId="207">
  <autoFilter ref="A35:E45" xr:uid="{00000000-0009-0000-0100-000017000000}"/>
  <tableColumns count="5">
    <tableColumn id="1" xr3:uid="{00000000-0010-0000-1600-000001000000}" name="NOM " dataDxfId="206"/>
    <tableColumn id="2" xr3:uid="{00000000-0010-0000-1600-000002000000}" name="PRENOM" dataDxfId="205"/>
    <tableColumn id="3" xr3:uid="{00000000-0010-0000-1600-000003000000}" name="Colonne1" dataDxfId="204">
      <calculatedColumnFormula>TRIM(CONCATENATE(B36,A36))</calculatedColumnFormula>
    </tableColumn>
    <tableColumn id="6" xr3:uid="{00000000-0010-0000-1600-000006000000}" name="Catégorie" dataDxfId="203"/>
    <tableColumn id="5" xr3:uid="{00000000-0010-0000-1600-000005000000}" name="BRUT" dataDxfId="202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eau71725" displayName="Tableau71725" ref="A49:E58" totalsRowShown="0" tableBorderDxfId="201">
  <autoFilter ref="A49:E58" xr:uid="{00000000-0009-0000-0100-000018000000}"/>
  <tableColumns count="5">
    <tableColumn id="1" xr3:uid="{00000000-0010-0000-1700-000001000000}" name="NOM " dataDxfId="200"/>
    <tableColumn id="2" xr3:uid="{00000000-0010-0000-1700-000002000000}" name="PRENOM" dataDxfId="199"/>
    <tableColumn id="3" xr3:uid="{00000000-0010-0000-1700-000003000000}" name="Colonne1" dataDxfId="198">
      <calculatedColumnFormula>TRIM(CONCATENATE(B50,A50))</calculatedColumnFormula>
    </tableColumn>
    <tableColumn id="6" xr3:uid="{00000000-0010-0000-1700-000006000000}" name="Catégorie" dataDxfId="197"/>
    <tableColumn id="5" xr3:uid="{00000000-0010-0000-1700-000005000000}" name="BRUT" dataDxfId="196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leau81826" displayName="Tableau81826" ref="A62:E70" totalsRowShown="0" tableBorderDxfId="195">
  <autoFilter ref="A62:E70" xr:uid="{00000000-0009-0000-0100-000019000000}"/>
  <tableColumns count="5">
    <tableColumn id="1" xr3:uid="{00000000-0010-0000-1800-000001000000}" name="NOM " dataDxfId="194"/>
    <tableColumn id="2" xr3:uid="{00000000-0010-0000-1800-000002000000}" name="PRENOM" dataDxfId="193"/>
    <tableColumn id="3" xr3:uid="{00000000-0010-0000-1800-000003000000}" name="Colonne1" dataDxfId="192">
      <calculatedColumnFormula>TRIM(CONCATENATE(B63,A63))</calculatedColumnFormula>
    </tableColumn>
    <tableColumn id="6" xr3:uid="{00000000-0010-0000-1800-000006000000}" name="Catégorie" dataDxfId="191"/>
    <tableColumn id="5" xr3:uid="{00000000-0010-0000-1800-000005000000}" name="BRUT" dataDxfId="190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eau91927" displayName="Tableau91927" ref="A75:E78" totalsRowShown="0" tableBorderDxfId="189">
  <autoFilter ref="A75:E78" xr:uid="{00000000-0009-0000-0100-00001A000000}"/>
  <tableColumns count="5">
    <tableColumn id="1" xr3:uid="{00000000-0010-0000-1900-000001000000}" name="NOM " dataDxfId="188"/>
    <tableColumn id="2" xr3:uid="{00000000-0010-0000-1900-000002000000}" name="PRENOM" dataDxfId="187"/>
    <tableColumn id="3" xr3:uid="{00000000-0010-0000-1900-000003000000}" name="Colonne1" dataDxfId="186">
      <calculatedColumnFormula>TRIM(CONCATENATE(B76,A76))</calculatedColumnFormula>
    </tableColumn>
    <tableColumn id="6" xr3:uid="{00000000-0010-0000-1900-000006000000}" name="Catégorie" dataDxfId="185"/>
    <tableColumn id="5" xr3:uid="{00000000-0010-0000-1900-000005000000}" name="BRUT" dataDxfId="184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leau112028" displayName="Tableau112028" ref="O6:Q13" totalsRowShown="0" tableBorderDxfId="183">
  <autoFilter ref="O6:Q13" xr:uid="{00000000-0009-0000-0100-00001B000000}"/>
  <tableColumns count="3">
    <tableColumn id="1" xr3:uid="{00000000-0010-0000-1A00-000001000000}" name="EQUIPES" dataDxfId="182"/>
    <tableColumn id="2" xr3:uid="{00000000-0010-0000-1A00-000002000000}" name="SCORE Brut" dataDxfId="181"/>
    <tableColumn id="3" xr3:uid="{00000000-0010-0000-1A00-000003000000}" name="CLASSEMENT" dataDxfId="180">
      <calculatedColumnFormula>RANK(P7, P$7:P$13, 1) + COUNTIF(P$7:P7, P7) - 1</calculatedColumnFormula>
    </tableColumn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leau3132129" displayName="Tableau3132129" ref="A4:E12" totalsRowShown="0" tableBorderDxfId="179">
  <autoFilter ref="A4:E12" xr:uid="{00000000-0009-0000-0100-00001C000000}"/>
  <tableColumns count="5">
    <tableColumn id="1" xr3:uid="{00000000-0010-0000-1B00-000001000000}" name="NOM " dataDxfId="178"/>
    <tableColumn id="2" xr3:uid="{00000000-0010-0000-1B00-000002000000}" name="PRENOM" dataDxfId="177"/>
    <tableColumn id="3" xr3:uid="{00000000-0010-0000-1B00-000003000000}" name="Colonne1" dataDxfId="176">
      <calculatedColumnFormula>TRIM(CONCATENATE(B5,A5))</calculatedColumnFormula>
    </tableColumn>
    <tableColumn id="6" xr3:uid="{00000000-0010-0000-1B00-000006000000}" name="Catégorie" dataDxfId="175"/>
    <tableColumn id="5" xr3:uid="{00000000-0010-0000-1B00-000005000000}" name="BRUT" dataDxfId="174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Tableau4142230" displayName="Tableau4142230" ref="A16:E26" totalsRowShown="0" tableBorderDxfId="173">
  <autoFilter ref="A16:E26" xr:uid="{00000000-0009-0000-0100-00001D000000}"/>
  <tableColumns count="5">
    <tableColumn id="1" xr3:uid="{00000000-0010-0000-1C00-000001000000}" name="NOM " dataDxfId="172"/>
    <tableColumn id="2" xr3:uid="{00000000-0010-0000-1C00-000002000000}" name="PRENOM" dataDxfId="171"/>
    <tableColumn id="3" xr3:uid="{00000000-0010-0000-1C00-000003000000}" name="Colonne1" dataDxfId="170">
      <calculatedColumnFormula>TRIM(CONCATENATE(B17,A17))</calculatedColumnFormula>
    </tableColumn>
    <tableColumn id="6" xr3:uid="{00000000-0010-0000-1C00-000006000000}" name="Catégorie" dataDxfId="169"/>
    <tableColumn id="5" xr3:uid="{00000000-0010-0000-1C00-000005000000}" name="BRUT" dataDxfId="16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00000000-000C-0000-FFFF-FFFF02000000}" name="Tableau60" displayName="Tableau60" ref="B5:K12" totalsRowShown="0" headerRowDxfId="330" headerRowBorderDxfId="329" tableBorderDxfId="328" totalsRowBorderDxfId="327">
  <autoFilter ref="B5:K12" xr:uid="{00000000-0009-0000-0100-00003C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sortState xmlns:xlrd2="http://schemas.microsoft.com/office/spreadsheetml/2017/richdata2" ref="B6:K12">
    <sortCondition ref="K5:K12"/>
  </sortState>
  <tableColumns count="10">
    <tableColumn id="1" xr3:uid="{00000000-0010-0000-0200-000001000000}" name="EQUIPES" dataDxfId="326"/>
    <tableColumn id="4" xr3:uid="{00000000-0010-0000-0200-000004000000}" name="MONTPENSIER" dataDxfId="325">
      <calculatedColumnFormula>'T1'!$P7</calculatedColumnFormula>
    </tableColumn>
    <tableColumn id="5" xr3:uid="{00000000-0010-0000-0200-000005000000}" name="VAL D'AUZON" dataDxfId="324">
      <calculatedColumnFormula>'T2'!$P7</calculatedColumnFormula>
    </tableColumn>
    <tableColumn id="6" xr3:uid="{00000000-0010-0000-0200-000006000000}" name="MAURIAC" dataDxfId="323">
      <calculatedColumnFormula>'T3'!$P7</calculatedColumnFormula>
    </tableColumn>
    <tableColumn id="7" xr3:uid="{00000000-0010-0000-0200-000007000000}" name="MONT DORE" dataDxfId="322">
      <calculatedColumnFormula>'T4'!$P7</calculatedColumnFormula>
    </tableColumn>
    <tableColumn id="8" xr3:uid="{00000000-0010-0000-0200-000008000000}" name="LES VOLCANS" dataDxfId="321">
      <calculatedColumnFormula>'T5'!$P7</calculatedColumnFormula>
    </tableColumn>
    <tableColumn id="9" xr3:uid="{00000000-0010-0000-0200-000009000000}" name="RIOM" dataDxfId="320">
      <calculatedColumnFormula>'T6'!$P7</calculatedColumnFormula>
    </tableColumn>
    <tableColumn id="10" xr3:uid="{00000000-0010-0000-0200-00000A000000}" name="CHARADE" dataDxfId="319">
      <calculatedColumnFormula>'T7'!$P7</calculatedColumnFormula>
    </tableColumn>
    <tableColumn id="11" xr3:uid="{00000000-0010-0000-0200-00000B000000}" name="GLOBAL" dataDxfId="318">
      <calculatedColumnFormula>SUM(C6:I6)</calculatedColumnFormula>
    </tableColumn>
    <tableColumn id="2" xr3:uid="{00000000-0010-0000-0200-000002000000}" name="Colonne1" dataDxfId="317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Tableau5152331" displayName="Tableau5152331" ref="A30:E34" totalsRowShown="0" tableBorderDxfId="167">
  <autoFilter ref="A30:E34" xr:uid="{00000000-0009-0000-0100-00001E000000}"/>
  <tableColumns count="5">
    <tableColumn id="1" xr3:uid="{00000000-0010-0000-1D00-000001000000}" name="NOM "/>
    <tableColumn id="2" xr3:uid="{00000000-0010-0000-1D00-000002000000}" name="PRENOM" dataDxfId="166"/>
    <tableColumn id="3" xr3:uid="{00000000-0010-0000-1D00-000003000000}" name="Colonne1" dataDxfId="165">
      <calculatedColumnFormula>TRIM(CONCATENATE(B31,A31))</calculatedColumnFormula>
    </tableColumn>
    <tableColumn id="6" xr3:uid="{00000000-0010-0000-1D00-000006000000}" name="Catégorie" dataDxfId="164"/>
    <tableColumn id="5" xr3:uid="{00000000-0010-0000-1D00-000005000000}" name="BRUT" dataDxfId="163"/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E000000}" name="Tableau6162432" displayName="Tableau6162432" ref="A38:E48" totalsRowShown="0" tableBorderDxfId="162">
  <autoFilter ref="A38:E48" xr:uid="{00000000-0009-0000-0100-00001F000000}"/>
  <tableColumns count="5">
    <tableColumn id="1" xr3:uid="{00000000-0010-0000-1E00-000001000000}" name="NOM " dataDxfId="161"/>
    <tableColumn id="2" xr3:uid="{00000000-0010-0000-1E00-000002000000}" name="PRENOM" dataDxfId="160"/>
    <tableColumn id="3" xr3:uid="{00000000-0010-0000-1E00-000003000000}" name="Colonne1" dataDxfId="159">
      <calculatedColumnFormula>TRIM(CONCATENATE(B39,A39))</calculatedColumnFormula>
    </tableColumn>
    <tableColumn id="6" xr3:uid="{00000000-0010-0000-1E00-000006000000}" name="Catégorie" dataDxfId="158"/>
    <tableColumn id="5" xr3:uid="{00000000-0010-0000-1E00-000005000000}" name="BRUT" dataDxfId="157"/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F000000}" name="Tableau7172533" displayName="Tableau7172533" ref="A52:E62" totalsRowShown="0" tableBorderDxfId="156">
  <autoFilter ref="A52:E62" xr:uid="{00000000-0009-0000-0100-000020000000}"/>
  <tableColumns count="5">
    <tableColumn id="1" xr3:uid="{00000000-0010-0000-1F00-000001000000}" name="NOM " dataDxfId="155"/>
    <tableColumn id="2" xr3:uid="{00000000-0010-0000-1F00-000002000000}" name="PRENOM" dataDxfId="154"/>
    <tableColumn id="3" xr3:uid="{00000000-0010-0000-1F00-000003000000}" name="Colonne1" dataDxfId="153">
      <calculatedColumnFormula>TRIM(CONCATENATE(B53,A53))</calculatedColumnFormula>
    </tableColumn>
    <tableColumn id="6" xr3:uid="{00000000-0010-0000-1F00-000006000000}" name="Catégorie" dataDxfId="152"/>
    <tableColumn id="5" xr3:uid="{00000000-0010-0000-1F00-000005000000}" name="BRUT" dataDxfId="151"/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20000000}" name="Tableau8182634" displayName="Tableau8182634" ref="A66:E72" totalsRowShown="0" tableBorderDxfId="150">
  <autoFilter ref="A66:E72" xr:uid="{00000000-0009-0000-0100-000021000000}"/>
  <tableColumns count="5">
    <tableColumn id="1" xr3:uid="{00000000-0010-0000-2000-000001000000}" name="NOM " dataDxfId="149"/>
    <tableColumn id="2" xr3:uid="{00000000-0010-0000-2000-000002000000}" name="PRENOM" dataDxfId="148"/>
    <tableColumn id="3" xr3:uid="{00000000-0010-0000-2000-000003000000}" name="Colonne1" dataDxfId="147">
      <calculatedColumnFormula>TRIM(CONCATENATE(B67,A67))</calculatedColumnFormula>
    </tableColumn>
    <tableColumn id="6" xr3:uid="{00000000-0010-0000-2000-000006000000}" name="Catégorie" dataDxfId="146"/>
    <tableColumn id="5" xr3:uid="{00000000-0010-0000-2000-000005000000}" name="BRUT" dataDxfId="145"/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1000000}" name="Tableau9192735" displayName="Tableau9192735" ref="A76:E79" totalsRowShown="0" tableBorderDxfId="144">
  <autoFilter ref="A76:E79" xr:uid="{00000000-0009-0000-0100-000022000000}"/>
  <tableColumns count="5">
    <tableColumn id="1" xr3:uid="{00000000-0010-0000-2100-000001000000}" name="NOM " dataDxfId="143"/>
    <tableColumn id="2" xr3:uid="{00000000-0010-0000-2100-000002000000}" name="PRENOM" dataDxfId="142"/>
    <tableColumn id="3" xr3:uid="{00000000-0010-0000-2100-000003000000}" name="Colonne1" dataDxfId="141">
      <calculatedColumnFormula>TRIM(CONCATENATE(B77,A77))</calculatedColumnFormula>
    </tableColumn>
    <tableColumn id="6" xr3:uid="{00000000-0010-0000-2100-000006000000}" name="Catégorie" dataDxfId="140"/>
    <tableColumn id="5" xr3:uid="{00000000-0010-0000-2100-000005000000}" name="BRUT" dataDxfId="139"/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2000000}" name="Tableau11202836" displayName="Tableau11202836" ref="O6:Q13" totalsRowShown="0" tableBorderDxfId="138">
  <autoFilter ref="O6:Q13" xr:uid="{00000000-0009-0000-0100-000023000000}"/>
  <tableColumns count="3">
    <tableColumn id="1" xr3:uid="{00000000-0010-0000-2200-000001000000}" name="EQUIPES" dataDxfId="137"/>
    <tableColumn id="2" xr3:uid="{00000000-0010-0000-2200-000002000000}" name="SCORE Brut" dataDxfId="136"/>
    <tableColumn id="3" xr3:uid="{00000000-0010-0000-2200-000003000000}" name="CLASSEMENT" dataDxfId="135">
      <calculatedColumnFormula>RANK(P7, P$7:P$13, 1) + COUNTIF(P$7:P7, P7) - 1</calculatedColumnFormula>
    </tableColumn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3000000}" name="Tableau313212937" displayName="Tableau313212937" ref="A4:E12" totalsRowShown="0" tableBorderDxfId="134">
  <autoFilter ref="A4:E12" xr:uid="{00000000-0009-0000-0100-000024000000}"/>
  <tableColumns count="5">
    <tableColumn id="1" xr3:uid="{00000000-0010-0000-2300-000001000000}" name="NOM " dataDxfId="133"/>
    <tableColumn id="2" xr3:uid="{00000000-0010-0000-2300-000002000000}" name="PRENOM" dataDxfId="132"/>
    <tableColumn id="3" xr3:uid="{00000000-0010-0000-2300-000003000000}" name="Colonne1" dataDxfId="131">
      <calculatedColumnFormula>TRIM(CONCATENATE(B5,A5))</calculatedColumnFormula>
    </tableColumn>
    <tableColumn id="6" xr3:uid="{00000000-0010-0000-2300-000006000000}" name="Catégorie" dataDxfId="130"/>
    <tableColumn id="5" xr3:uid="{00000000-0010-0000-2300-000005000000}" name="BRUT" dataDxfId="129"/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4000000}" name="Tableau414223038" displayName="Tableau414223038" ref="A16:E24" totalsRowShown="0" tableBorderDxfId="128">
  <autoFilter ref="A16:E24" xr:uid="{00000000-0009-0000-0100-000025000000}"/>
  <tableColumns count="5">
    <tableColumn id="1" xr3:uid="{00000000-0010-0000-2400-000001000000}" name="NOM " dataDxfId="127"/>
    <tableColumn id="2" xr3:uid="{00000000-0010-0000-2400-000002000000}" name="PRENOM" dataDxfId="126"/>
    <tableColumn id="3" xr3:uid="{00000000-0010-0000-2400-000003000000}" name="Colonne1" dataDxfId="125">
      <calculatedColumnFormula>TRIM(CONCATENATE(B17,A17))</calculatedColumnFormula>
    </tableColumn>
    <tableColumn id="6" xr3:uid="{00000000-0010-0000-2400-000006000000}" name="Catégorie" dataDxfId="124"/>
    <tableColumn id="5" xr3:uid="{00000000-0010-0000-2400-000005000000}" name="BRUT" dataDxfId="123"/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5000000}" name="Tableau515233139" displayName="Tableau515233139" ref="A28:E32" totalsRowShown="0" tableBorderDxfId="122">
  <autoFilter ref="A28:E32" xr:uid="{00000000-0009-0000-0100-000026000000}"/>
  <tableColumns count="5">
    <tableColumn id="1" xr3:uid="{00000000-0010-0000-2500-000001000000}" name="NOM "/>
    <tableColumn id="2" xr3:uid="{00000000-0010-0000-2500-000002000000}" name="PRENOM" dataDxfId="121"/>
    <tableColumn id="3" xr3:uid="{00000000-0010-0000-2500-000003000000}" name="Colonne1" dataDxfId="120">
      <calculatedColumnFormula>TRIM(CONCATENATE(B29,A29))</calculatedColumnFormula>
    </tableColumn>
    <tableColumn id="6" xr3:uid="{00000000-0010-0000-2500-000006000000}" name="Catégorie" dataDxfId="119"/>
    <tableColumn id="5" xr3:uid="{00000000-0010-0000-2500-000005000000}" name="BRUT" dataDxfId="118"/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6000000}" name="Tableau616243240" displayName="Tableau616243240" ref="A36:E44" totalsRowShown="0" tableBorderDxfId="117">
  <autoFilter ref="A36:E44" xr:uid="{00000000-0009-0000-0100-000027000000}"/>
  <tableColumns count="5">
    <tableColumn id="1" xr3:uid="{00000000-0010-0000-2600-000001000000}" name="NOM " dataDxfId="116"/>
    <tableColumn id="2" xr3:uid="{00000000-0010-0000-2600-000002000000}" name="PRENOM" dataDxfId="115"/>
    <tableColumn id="3" xr3:uid="{00000000-0010-0000-2600-000003000000}" name="Colonne1" dataDxfId="114">
      <calculatedColumnFormula>TRIM(CONCATENATE(B37,A37))</calculatedColumnFormula>
    </tableColumn>
    <tableColumn id="6" xr3:uid="{00000000-0010-0000-2600-000006000000}" name="Catégorie" dataDxfId="113"/>
    <tableColumn id="5" xr3:uid="{00000000-0010-0000-2600-000005000000}" name="BRUT" dataDxfId="11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au3" displayName="Tableau3" ref="A4:E10" totalsRowShown="0" tableBorderDxfId="316">
  <autoFilter ref="A4:E10" xr:uid="{00000000-0009-0000-0100-000003000000}"/>
  <tableColumns count="5">
    <tableColumn id="1" xr3:uid="{00000000-0010-0000-0300-000001000000}" name="NOM " dataDxfId="315"/>
    <tableColumn id="2" xr3:uid="{00000000-0010-0000-0300-000002000000}" name="PRENOM" dataDxfId="314"/>
    <tableColumn id="3" xr3:uid="{00000000-0010-0000-0300-000003000000}" name="Colonne1" dataDxfId="313">
      <calculatedColumnFormula>TRIM(CONCATENATE(B5,A5))</calculatedColumnFormula>
    </tableColumn>
    <tableColumn id="6" xr3:uid="{00000000-0010-0000-0300-000006000000}" name="Catégorie" dataDxfId="312"/>
    <tableColumn id="5" xr3:uid="{00000000-0010-0000-0300-000005000000}" name="BRUT" dataDxfId="311"/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7000000}" name="Tableau717253341" displayName="Tableau717253341" ref="A48:E56" totalsRowShown="0" tableBorderDxfId="111">
  <autoFilter ref="A48:E56" xr:uid="{00000000-0009-0000-0100-000028000000}"/>
  <tableColumns count="5">
    <tableColumn id="1" xr3:uid="{00000000-0010-0000-2700-000001000000}" name="NOM " dataDxfId="110"/>
    <tableColumn id="2" xr3:uid="{00000000-0010-0000-2700-000002000000}" name="PRENOM" dataDxfId="109"/>
    <tableColumn id="3" xr3:uid="{00000000-0010-0000-2700-000003000000}" name="Colonne1" dataDxfId="108">
      <calculatedColumnFormula>TRIM(CONCATENATE(B49,A49))</calculatedColumnFormula>
    </tableColumn>
    <tableColumn id="6" xr3:uid="{00000000-0010-0000-2700-000006000000}" name="Catégorie" dataDxfId="107"/>
    <tableColumn id="5" xr3:uid="{00000000-0010-0000-2700-000005000000}" name="BRUT" dataDxfId="106"/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8000000}" name="Tableau818263442" displayName="Tableau818263442" ref="A60:E67" totalsRowShown="0" tableBorderDxfId="105">
  <autoFilter ref="A60:E67" xr:uid="{00000000-0009-0000-0100-000029000000}"/>
  <tableColumns count="5">
    <tableColumn id="1" xr3:uid="{00000000-0010-0000-2800-000001000000}" name="NOM " dataDxfId="104" dataCellStyle="Excel Built-in Normal"/>
    <tableColumn id="2" xr3:uid="{00000000-0010-0000-2800-000002000000}" name="PRENOM" dataDxfId="103"/>
    <tableColumn id="3" xr3:uid="{00000000-0010-0000-2800-000003000000}" name="Colonne1" dataDxfId="102">
      <calculatedColumnFormula>TRIM(CONCATENATE(B61,A61))</calculatedColumnFormula>
    </tableColumn>
    <tableColumn id="6" xr3:uid="{00000000-0010-0000-2800-000006000000}" name="Catégorie" dataDxfId="101"/>
    <tableColumn id="5" xr3:uid="{00000000-0010-0000-2800-000005000000}" name="BRUT" dataDxfId="100"/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9000000}" name="Tableau919273543" displayName="Tableau919273543" ref="A71:E76" totalsRowShown="0" tableBorderDxfId="99">
  <autoFilter ref="A71:E76" xr:uid="{00000000-0009-0000-0100-00002A000000}"/>
  <tableColumns count="5">
    <tableColumn id="1" xr3:uid="{00000000-0010-0000-2900-000001000000}" name="NOM " dataDxfId="98"/>
    <tableColumn id="2" xr3:uid="{00000000-0010-0000-2900-000002000000}" name="PRENOM" dataDxfId="97"/>
    <tableColumn id="3" xr3:uid="{00000000-0010-0000-2900-000003000000}" name="Colonne1" dataDxfId="96">
      <calculatedColumnFormula>TRIM(CONCATENATE(B72,A72))</calculatedColumnFormula>
    </tableColumn>
    <tableColumn id="6" xr3:uid="{00000000-0010-0000-2900-000006000000}" name="Catégorie" dataDxfId="95"/>
    <tableColumn id="5" xr3:uid="{00000000-0010-0000-2900-000005000000}" name="BRUT" dataDxfId="94"/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A000000}" name="Tableau1120283644" displayName="Tableau1120283644" ref="O6:Q13" totalsRowShown="0" tableBorderDxfId="93">
  <autoFilter ref="O6:Q13" xr:uid="{00000000-0009-0000-0100-00002B000000}"/>
  <tableColumns count="3">
    <tableColumn id="1" xr3:uid="{00000000-0010-0000-2A00-000001000000}" name="EQUIPES" dataDxfId="92"/>
    <tableColumn id="2" xr3:uid="{00000000-0010-0000-2A00-000002000000}" name="SCORE Brut" dataDxfId="91"/>
    <tableColumn id="3" xr3:uid="{00000000-0010-0000-2A00-000003000000}" name="CLASSEMENT" dataDxfId="90">
      <calculatedColumnFormula>RANK(P7, P$7:P$13, 1) + COUNTIF(P$7:P7, P7) - 1</calculatedColumnFormula>
    </tableColumn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B000000}" name="Tableau31321293745" displayName="Tableau31321293745" ref="A4:E19" totalsRowShown="0" tableBorderDxfId="89">
  <autoFilter ref="A4:E19" xr:uid="{00000000-0009-0000-0100-00002C000000}"/>
  <tableColumns count="5">
    <tableColumn id="1" xr3:uid="{00000000-0010-0000-2B00-000001000000}" name="NOM " dataDxfId="88"/>
    <tableColumn id="2" xr3:uid="{00000000-0010-0000-2B00-000002000000}" name="PRENOM" dataDxfId="87"/>
    <tableColumn id="3" xr3:uid="{00000000-0010-0000-2B00-000003000000}" name="Colonne1" dataDxfId="86">
      <calculatedColumnFormula>TRIM(CONCATENATE(B5,A5))</calculatedColumnFormula>
    </tableColumn>
    <tableColumn id="6" xr3:uid="{00000000-0010-0000-2B00-000006000000}" name="Catégorie" dataDxfId="85"/>
    <tableColumn id="5" xr3:uid="{00000000-0010-0000-2B00-000005000000}" name="BRUT" dataDxfId="84"/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C000000}" name="Tableau41422303846" displayName="Tableau41422303846" ref="A23:E40" totalsRowShown="0" tableBorderDxfId="83">
  <autoFilter ref="A23:E40" xr:uid="{00000000-0009-0000-0100-00002D000000}"/>
  <tableColumns count="5">
    <tableColumn id="1" xr3:uid="{00000000-0010-0000-2C00-000001000000}" name="NOM " dataDxfId="82"/>
    <tableColumn id="2" xr3:uid="{00000000-0010-0000-2C00-000002000000}" name="PRENOM" dataDxfId="81"/>
    <tableColumn id="3" xr3:uid="{00000000-0010-0000-2C00-000003000000}" name="Colonne1" dataDxfId="80">
      <calculatedColumnFormula>TRIM(CONCATENATE(B24,A24))</calculatedColumnFormula>
    </tableColumn>
    <tableColumn id="6" xr3:uid="{00000000-0010-0000-2C00-000006000000}" name="Catégorie" dataDxfId="79"/>
    <tableColumn id="5" xr3:uid="{00000000-0010-0000-2C00-000005000000}" name="BRUT" dataDxfId="78"/>
  </tableColumns>
  <tableStyleInfo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2D000000}" name="Tableau51523313947" displayName="Tableau51523313947" ref="A44:E48" totalsRowShown="0" tableBorderDxfId="77">
  <autoFilter ref="A44:E48" xr:uid="{00000000-0009-0000-0100-00002E000000}"/>
  <tableColumns count="5">
    <tableColumn id="1" xr3:uid="{00000000-0010-0000-2D00-000001000000}" name="NOM "/>
    <tableColumn id="2" xr3:uid="{00000000-0010-0000-2D00-000002000000}" name="PRENOM" dataDxfId="76"/>
    <tableColumn id="3" xr3:uid="{00000000-0010-0000-2D00-000003000000}" name="Colonne1" dataDxfId="75">
      <calculatedColumnFormula>TRIM(CONCATENATE(B45,A45))</calculatedColumnFormula>
    </tableColumn>
    <tableColumn id="6" xr3:uid="{00000000-0010-0000-2D00-000006000000}" name="Catégorie" dataDxfId="74"/>
    <tableColumn id="5" xr3:uid="{00000000-0010-0000-2D00-000005000000}" name="BRUT" dataDxfId="73"/>
  </tableColumns>
  <tableStyleInfo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2E000000}" name="Tableau61624324048" displayName="Tableau61624324048" ref="A52:E62" totalsRowShown="0" tableBorderDxfId="72">
  <autoFilter ref="A52:E62" xr:uid="{00000000-0009-0000-0100-00002F000000}"/>
  <tableColumns count="5">
    <tableColumn id="1" xr3:uid="{00000000-0010-0000-2E00-000001000000}" name="NOM " dataDxfId="71"/>
    <tableColumn id="2" xr3:uid="{00000000-0010-0000-2E00-000002000000}" name="PRENOM" dataDxfId="70"/>
    <tableColumn id="3" xr3:uid="{00000000-0010-0000-2E00-000003000000}" name="Colonne1" dataDxfId="69">
      <calculatedColumnFormula>TRIM(CONCATENATE(B53,A53))</calculatedColumnFormula>
    </tableColumn>
    <tableColumn id="6" xr3:uid="{00000000-0010-0000-2E00-000006000000}" name="Catégorie" dataDxfId="68"/>
    <tableColumn id="5" xr3:uid="{00000000-0010-0000-2E00-000005000000}" name="BRUT" dataDxfId="67"/>
  </tableColumns>
  <tableStyleInfo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2F000000}" name="Tableau71725334149" displayName="Tableau71725334149" ref="A66:E72" totalsRowShown="0" tableBorderDxfId="66">
  <autoFilter ref="A66:E72" xr:uid="{00000000-0009-0000-0100-000030000000}"/>
  <tableColumns count="5">
    <tableColumn id="1" xr3:uid="{00000000-0010-0000-2F00-000001000000}" name="NOM " dataDxfId="65"/>
    <tableColumn id="2" xr3:uid="{00000000-0010-0000-2F00-000002000000}" name="PRENOM" dataDxfId="64"/>
    <tableColumn id="3" xr3:uid="{00000000-0010-0000-2F00-000003000000}" name="Colonne1" dataDxfId="63">
      <calculatedColumnFormula>TRIM(CONCATENATE(B67,A67))</calculatedColumnFormula>
    </tableColumn>
    <tableColumn id="6" xr3:uid="{00000000-0010-0000-2F00-000006000000}" name="Catégorie" dataDxfId="62"/>
    <tableColumn id="5" xr3:uid="{00000000-0010-0000-2F00-000005000000}" name="BRUT" dataDxfId="61"/>
  </tableColumns>
  <tableStyleInfo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30000000}" name="Tableau81826344250" displayName="Tableau81826344250" ref="A75:E80" totalsRowShown="0" tableBorderDxfId="60">
  <autoFilter ref="A75:E80" xr:uid="{00000000-0009-0000-0100-000031000000}"/>
  <tableColumns count="5">
    <tableColumn id="1" xr3:uid="{00000000-0010-0000-3000-000001000000}" name="NOM " dataDxfId="59"/>
    <tableColumn id="2" xr3:uid="{00000000-0010-0000-3000-000002000000}" name="PRENOM" dataDxfId="58"/>
    <tableColumn id="3" xr3:uid="{00000000-0010-0000-3000-000003000000}" name="Colonne1" dataDxfId="57">
      <calculatedColumnFormula>TRIM(CONCATENATE(B76,A76))</calculatedColumnFormula>
    </tableColumn>
    <tableColumn id="6" xr3:uid="{00000000-0010-0000-3000-000006000000}" name="Catégorie" dataDxfId="56"/>
    <tableColumn id="5" xr3:uid="{00000000-0010-0000-3000-000005000000}" name="BRUT" dataDxfId="55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Tableau4" displayName="Tableau4" ref="A14:E24" totalsRowShown="0" tableBorderDxfId="310">
  <autoFilter ref="A14:E24" xr:uid="{00000000-0009-0000-0100-000004000000}"/>
  <tableColumns count="5">
    <tableColumn id="1" xr3:uid="{00000000-0010-0000-0400-000001000000}" name="NOM " dataDxfId="309"/>
    <tableColumn id="2" xr3:uid="{00000000-0010-0000-0400-000002000000}" name="PRENOM" dataDxfId="308"/>
    <tableColumn id="3" xr3:uid="{00000000-0010-0000-0400-000003000000}" name="Colonne1" dataDxfId="307">
      <calculatedColumnFormula>TRIM(CONCATENATE(B15,A15))</calculatedColumnFormula>
    </tableColumn>
    <tableColumn id="6" xr3:uid="{00000000-0010-0000-0400-000006000000}" name="Catégorie" dataDxfId="306"/>
    <tableColumn id="5" xr3:uid="{00000000-0010-0000-0400-000005000000}" name="BRUT" dataDxfId="305"/>
  </tableColumns>
  <tableStyleInfo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31000000}" name="Tableau91927354351" displayName="Tableau91927354351" ref="A84:E89" totalsRowShown="0" tableBorderDxfId="54">
  <autoFilter ref="A84:E89" xr:uid="{00000000-0009-0000-0100-000032000000}"/>
  <tableColumns count="5">
    <tableColumn id="1" xr3:uid="{00000000-0010-0000-3100-000001000000}" name="NOM " dataDxfId="53"/>
    <tableColumn id="2" xr3:uid="{00000000-0010-0000-3100-000002000000}" name="PRENOM" dataDxfId="52"/>
    <tableColumn id="3" xr3:uid="{00000000-0010-0000-3100-000003000000}" name="Colonne1" dataDxfId="51">
      <calculatedColumnFormula>TRIM(CONCATENATE(B85,A85))</calculatedColumnFormula>
    </tableColumn>
    <tableColumn id="6" xr3:uid="{00000000-0010-0000-3100-000006000000}" name="Catégorie" dataDxfId="50"/>
    <tableColumn id="5" xr3:uid="{00000000-0010-0000-3100-000005000000}" name="BRUT" dataDxfId="49"/>
  </tableColumns>
  <tableStyleInfo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32000000}" name="Tableau112028364452" displayName="Tableau112028364452" ref="O6:Q13" totalsRowShown="0" tableBorderDxfId="48">
  <autoFilter ref="O6:Q13" xr:uid="{00000000-0009-0000-0100-000033000000}"/>
  <tableColumns count="3">
    <tableColumn id="1" xr3:uid="{00000000-0010-0000-3200-000001000000}" name="EQUIPES" dataDxfId="47"/>
    <tableColumn id="2" xr3:uid="{00000000-0010-0000-3200-000002000000}" name="SCORE Brut" dataDxfId="46"/>
    <tableColumn id="3" xr3:uid="{00000000-0010-0000-3200-000003000000}" name="CLASSEMENT" dataDxfId="45">
      <calculatedColumnFormula>RANK(P7, P$7:P$13, 1) + COUNTIF(P$7:P7, P7) - 1</calculatedColumnFormula>
    </tableColumn>
  </tableColumns>
  <tableStyleInfo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33000000}" name="Tableau3132129374553" displayName="Tableau3132129374553" ref="A4:E11" totalsRowShown="0" tableBorderDxfId="44">
  <autoFilter ref="A4:E11" xr:uid="{00000000-0009-0000-0100-000034000000}"/>
  <tableColumns count="5">
    <tableColumn id="1" xr3:uid="{00000000-0010-0000-3300-000001000000}" name="NOM " dataDxfId="43"/>
    <tableColumn id="2" xr3:uid="{00000000-0010-0000-3300-000002000000}" name="PRENOM" dataDxfId="42"/>
    <tableColumn id="3" xr3:uid="{00000000-0010-0000-3300-000003000000}" name="Colonne1" dataDxfId="41">
      <calculatedColumnFormula>TRIM(CONCATENATE(B5,A5))</calculatedColumnFormula>
    </tableColumn>
    <tableColumn id="6" xr3:uid="{00000000-0010-0000-3300-000006000000}" name="Catégorie" dataDxfId="40"/>
    <tableColumn id="5" xr3:uid="{00000000-0010-0000-3300-000005000000}" name="BRUT" dataDxfId="39"/>
  </tableColumns>
  <tableStyleInfo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34000000}" name="Tableau4142230384654" displayName="Tableau4142230384654" ref="A15:E23" totalsRowShown="0" tableBorderDxfId="38">
  <autoFilter ref="A15:E23" xr:uid="{00000000-0009-0000-0100-000035000000}"/>
  <tableColumns count="5">
    <tableColumn id="1" xr3:uid="{00000000-0010-0000-3400-000001000000}" name="NOM " dataDxfId="37"/>
    <tableColumn id="2" xr3:uid="{00000000-0010-0000-3400-000002000000}" name="PRENOM" dataDxfId="36"/>
    <tableColumn id="3" xr3:uid="{00000000-0010-0000-3400-000003000000}" name="Colonne1" dataDxfId="35">
      <calculatedColumnFormula>TRIM(CONCATENATE(B16,A16))</calculatedColumnFormula>
    </tableColumn>
    <tableColumn id="6" xr3:uid="{00000000-0010-0000-3400-000006000000}" name="Catégorie" dataDxfId="34"/>
    <tableColumn id="5" xr3:uid="{00000000-0010-0000-3400-000005000000}" name="BRUT" dataDxfId="33"/>
  </tableColumns>
  <tableStyleInfo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35000000}" name="Tableau5152331394755" displayName="Tableau5152331394755" ref="A27:E31" totalsRowShown="0" tableBorderDxfId="32">
  <autoFilter ref="A27:E31" xr:uid="{00000000-0009-0000-0100-000036000000}"/>
  <tableColumns count="5">
    <tableColumn id="1" xr3:uid="{00000000-0010-0000-3500-000001000000}" name="NOM "/>
    <tableColumn id="2" xr3:uid="{00000000-0010-0000-3500-000002000000}" name="PRENOM" dataDxfId="31"/>
    <tableColumn id="3" xr3:uid="{00000000-0010-0000-3500-000003000000}" name="Colonne1" dataDxfId="30">
      <calculatedColumnFormula>TRIM(CONCATENATE(B28,A28))</calculatedColumnFormula>
    </tableColumn>
    <tableColumn id="6" xr3:uid="{00000000-0010-0000-3500-000006000000}" name="Catégorie" dataDxfId="29"/>
    <tableColumn id="5" xr3:uid="{00000000-0010-0000-3500-000005000000}" name="BRUT" dataDxfId="28"/>
  </tableColumns>
  <tableStyleInfo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36000000}" name="Tableau6162432404856" displayName="Tableau6162432404856" ref="A35:E43" totalsRowShown="0" tableBorderDxfId="27">
  <autoFilter ref="A35:E43" xr:uid="{00000000-0009-0000-0100-000037000000}"/>
  <tableColumns count="5">
    <tableColumn id="1" xr3:uid="{00000000-0010-0000-3600-000001000000}" name="NOM " dataDxfId="26"/>
    <tableColumn id="2" xr3:uid="{00000000-0010-0000-3600-000002000000}" name="PRENOM" dataDxfId="25"/>
    <tableColumn id="3" xr3:uid="{00000000-0010-0000-3600-000003000000}" name="Colonne1" dataDxfId="24">
      <calculatedColumnFormula>TRIM(CONCATENATE(B36,A36))</calculatedColumnFormula>
    </tableColumn>
    <tableColumn id="6" xr3:uid="{00000000-0010-0000-3600-000006000000}" name="Catégorie" dataDxfId="23"/>
    <tableColumn id="5" xr3:uid="{00000000-0010-0000-3600-000005000000}" name="BRUT" dataDxfId="22"/>
  </tableColumns>
  <tableStyleInfo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37000000}" name="Tableau7172533414957" displayName="Tableau7172533414957" ref="A47:E56" totalsRowShown="0" tableBorderDxfId="21">
  <autoFilter ref="A47:E56" xr:uid="{00000000-0009-0000-0100-000038000000}"/>
  <tableColumns count="5">
    <tableColumn id="1" xr3:uid="{00000000-0010-0000-3700-000001000000}" name="NOM " dataDxfId="20"/>
    <tableColumn id="2" xr3:uid="{00000000-0010-0000-3700-000002000000}" name="PRENOM" dataDxfId="19"/>
    <tableColumn id="3" xr3:uid="{00000000-0010-0000-3700-000003000000}" name="Colonne1" dataDxfId="18">
      <calculatedColumnFormula>TRIM(CONCATENATE(B48,A48))</calculatedColumnFormula>
    </tableColumn>
    <tableColumn id="6" xr3:uid="{00000000-0010-0000-3700-000006000000}" name="Catégorie" dataDxfId="17"/>
    <tableColumn id="5" xr3:uid="{00000000-0010-0000-3700-000005000000}" name="BRUT" dataDxfId="16"/>
  </tableColumns>
  <tableStyleInfo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38000000}" name="Tableau8182634425058" displayName="Tableau8182634425058" ref="A60:E68" totalsRowShown="0" tableBorderDxfId="15">
  <autoFilter ref="A60:E68" xr:uid="{00000000-0009-0000-0100-000039000000}"/>
  <tableColumns count="5">
    <tableColumn id="1" xr3:uid="{00000000-0010-0000-3800-000001000000}" name="NOM " dataDxfId="14"/>
    <tableColumn id="2" xr3:uid="{00000000-0010-0000-3800-000002000000}" name="PRENOM" dataDxfId="13"/>
    <tableColumn id="3" xr3:uid="{00000000-0010-0000-3800-000003000000}" name="Colonne1" dataDxfId="12">
      <calculatedColumnFormula>TRIM(CONCATENATE(B61,A61))</calculatedColumnFormula>
    </tableColumn>
    <tableColumn id="6" xr3:uid="{00000000-0010-0000-3800-000006000000}" name="Catégorie" dataDxfId="11"/>
    <tableColumn id="5" xr3:uid="{00000000-0010-0000-3800-000005000000}" name="BRUT" dataDxfId="10"/>
  </tableColumns>
  <tableStyleInfo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39000000}" name="Tableau9192735435159" displayName="Tableau9192735435159" ref="A72:E77" totalsRowShown="0" tableBorderDxfId="9">
  <autoFilter ref="A72:E77" xr:uid="{00000000-0009-0000-0100-00003A000000}"/>
  <tableColumns count="5">
    <tableColumn id="1" xr3:uid="{00000000-0010-0000-3900-000001000000}" name="NOM " dataDxfId="8"/>
    <tableColumn id="2" xr3:uid="{00000000-0010-0000-3900-000002000000}" name="PRENOM" dataDxfId="7"/>
    <tableColumn id="3" xr3:uid="{00000000-0010-0000-3900-000003000000}" name="Colonne1" dataDxfId="6">
      <calculatedColumnFormula>TRIM(CONCATENATE(B73,A73))</calculatedColumnFormula>
    </tableColumn>
    <tableColumn id="6" xr3:uid="{00000000-0010-0000-3900-000006000000}" name="Catégorie" dataDxfId="5"/>
    <tableColumn id="5" xr3:uid="{00000000-0010-0000-3900-000005000000}" name="BRUT" dataDxfId="4"/>
  </tableColumns>
  <tableStyleInfo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00000000-000C-0000-FFFF-FFFF3A000000}" name="Tableau11202836445260" displayName="Tableau11202836445260" ref="O6:Q13" totalsRowShown="0" tableBorderDxfId="3">
  <autoFilter ref="O6:Q13" xr:uid="{00000000-0009-0000-0100-00003B000000}"/>
  <tableColumns count="3">
    <tableColumn id="1" xr3:uid="{00000000-0010-0000-3A00-000001000000}" name="EQUIPES" dataDxfId="2"/>
    <tableColumn id="2" xr3:uid="{00000000-0010-0000-3A00-000002000000}" name="SCORE Brut" dataDxfId="1"/>
    <tableColumn id="3" xr3:uid="{00000000-0010-0000-3A00-000003000000}" name="CLASSEMENT" dataDxfId="0">
      <calculatedColumnFormula>RANK(P7, P$7:P$13, 1) + COUNTIF(P$7:P7, P7) - 1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Tableau5" displayName="Tableau5" ref="A28:E32" totalsRowShown="0" tableBorderDxfId="304">
  <autoFilter ref="A28:E32" xr:uid="{00000000-0009-0000-0100-000005000000}"/>
  <tableColumns count="5">
    <tableColumn id="1" xr3:uid="{00000000-0010-0000-0500-000001000000}" name="NOM "/>
    <tableColumn id="2" xr3:uid="{00000000-0010-0000-0500-000002000000}" name="PRENOM" dataDxfId="303"/>
    <tableColumn id="3" xr3:uid="{00000000-0010-0000-0500-000003000000}" name="Colonne1" dataDxfId="302">
      <calculatedColumnFormula>TRIM(CONCATENATE(B29,A29))</calculatedColumnFormula>
    </tableColumn>
    <tableColumn id="6" xr3:uid="{00000000-0010-0000-0500-000006000000}" name="Catégorie" dataDxfId="301"/>
    <tableColumn id="5" xr3:uid="{00000000-0010-0000-0500-000005000000}" name="BRUT" dataDxfId="30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ableau6" displayName="Tableau6" ref="A36:E46" totalsRowShown="0" tableBorderDxfId="299">
  <autoFilter ref="A36:E46" xr:uid="{00000000-0009-0000-0100-000006000000}"/>
  <tableColumns count="5">
    <tableColumn id="1" xr3:uid="{00000000-0010-0000-0600-000001000000}" name="NOM " dataDxfId="298"/>
    <tableColumn id="2" xr3:uid="{00000000-0010-0000-0600-000002000000}" name="PRENOM" dataDxfId="297"/>
    <tableColumn id="3" xr3:uid="{00000000-0010-0000-0600-000003000000}" name="Colonne1" dataDxfId="296">
      <calculatedColumnFormula>TRIM(CONCATENATE(B37,A37))</calculatedColumnFormula>
    </tableColumn>
    <tableColumn id="6" xr3:uid="{00000000-0010-0000-0600-000006000000}" name="Catégorie" dataDxfId="295"/>
    <tableColumn id="5" xr3:uid="{00000000-0010-0000-0600-000005000000}" name="BRUT" dataDxfId="294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7000000}" name="Tableau7" displayName="Tableau7" ref="A50:E57" totalsRowShown="0" tableBorderDxfId="293">
  <autoFilter ref="A50:E57" xr:uid="{00000000-0009-0000-0100-000007000000}"/>
  <tableColumns count="5">
    <tableColumn id="1" xr3:uid="{00000000-0010-0000-0700-000001000000}" name="NOM " dataDxfId="292"/>
    <tableColumn id="2" xr3:uid="{00000000-0010-0000-0700-000002000000}" name="PRENOM" dataDxfId="291"/>
    <tableColumn id="3" xr3:uid="{00000000-0010-0000-0700-000003000000}" name="Colonne1" dataDxfId="290">
      <calculatedColumnFormula>TRIM(CONCATENATE(B51,A51))</calculatedColumnFormula>
    </tableColumn>
    <tableColumn id="6" xr3:uid="{00000000-0010-0000-0700-000006000000}" name="Catégorie" dataDxfId="289"/>
    <tableColumn id="5" xr3:uid="{00000000-0010-0000-0700-000005000000}" name="BRUT" dataDxfId="288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8000000}" name="Tableau8" displayName="Tableau8" ref="A61:E67" totalsRowShown="0" tableBorderDxfId="287">
  <autoFilter ref="A61:E67" xr:uid="{00000000-0009-0000-0100-000008000000}"/>
  <tableColumns count="5">
    <tableColumn id="1" xr3:uid="{00000000-0010-0000-0800-000001000000}" name="NOM " dataDxfId="286"/>
    <tableColumn id="2" xr3:uid="{00000000-0010-0000-0800-000002000000}" name="PRENOM" dataDxfId="285"/>
    <tableColumn id="3" xr3:uid="{00000000-0010-0000-0800-000003000000}" name="Colonne1" dataDxfId="284">
      <calculatedColumnFormula>TRIM(CONCATENATE(B62,A62))</calculatedColumnFormula>
    </tableColumn>
    <tableColumn id="6" xr3:uid="{00000000-0010-0000-0800-000006000000}" name="Catégorie" dataDxfId="283"/>
    <tableColumn id="5" xr3:uid="{00000000-0010-0000-0800-000005000000}" name="BRUT" dataDxfId="28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8.xml"/><Relationship Id="rId3" Type="http://schemas.openxmlformats.org/officeDocument/2006/relationships/table" Target="../tables/table13.xml"/><Relationship Id="rId7" Type="http://schemas.openxmlformats.org/officeDocument/2006/relationships/table" Target="../tables/table17.xml"/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6.xml"/><Relationship Id="rId5" Type="http://schemas.openxmlformats.org/officeDocument/2006/relationships/table" Target="../tables/table15.xml"/><Relationship Id="rId4" Type="http://schemas.openxmlformats.org/officeDocument/2006/relationships/table" Target="../tables/table14.xml"/><Relationship Id="rId9" Type="http://schemas.openxmlformats.org/officeDocument/2006/relationships/table" Target="../tables/table19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6.xml"/><Relationship Id="rId3" Type="http://schemas.openxmlformats.org/officeDocument/2006/relationships/table" Target="../tables/table21.xml"/><Relationship Id="rId7" Type="http://schemas.openxmlformats.org/officeDocument/2006/relationships/table" Target="../tables/table25.xml"/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24.xml"/><Relationship Id="rId5" Type="http://schemas.openxmlformats.org/officeDocument/2006/relationships/table" Target="../tables/table23.xml"/><Relationship Id="rId4" Type="http://schemas.openxmlformats.org/officeDocument/2006/relationships/table" Target="../tables/table22.xml"/><Relationship Id="rId9" Type="http://schemas.openxmlformats.org/officeDocument/2006/relationships/table" Target="../tables/table27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4.xml"/><Relationship Id="rId3" Type="http://schemas.openxmlformats.org/officeDocument/2006/relationships/table" Target="../tables/table29.xml"/><Relationship Id="rId7" Type="http://schemas.openxmlformats.org/officeDocument/2006/relationships/table" Target="../tables/table33.xml"/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32.xml"/><Relationship Id="rId5" Type="http://schemas.openxmlformats.org/officeDocument/2006/relationships/table" Target="../tables/table31.xml"/><Relationship Id="rId4" Type="http://schemas.openxmlformats.org/officeDocument/2006/relationships/table" Target="../tables/table30.xml"/><Relationship Id="rId9" Type="http://schemas.openxmlformats.org/officeDocument/2006/relationships/table" Target="../tables/table35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42.xml"/><Relationship Id="rId3" Type="http://schemas.openxmlformats.org/officeDocument/2006/relationships/table" Target="../tables/table37.xml"/><Relationship Id="rId7" Type="http://schemas.openxmlformats.org/officeDocument/2006/relationships/table" Target="../tables/table41.xml"/><Relationship Id="rId2" Type="http://schemas.openxmlformats.org/officeDocument/2006/relationships/table" Target="../tables/table36.xml"/><Relationship Id="rId1" Type="http://schemas.openxmlformats.org/officeDocument/2006/relationships/printerSettings" Target="../printerSettings/printerSettings7.bin"/><Relationship Id="rId6" Type="http://schemas.openxmlformats.org/officeDocument/2006/relationships/table" Target="../tables/table40.xml"/><Relationship Id="rId5" Type="http://schemas.openxmlformats.org/officeDocument/2006/relationships/table" Target="../tables/table39.xml"/><Relationship Id="rId4" Type="http://schemas.openxmlformats.org/officeDocument/2006/relationships/table" Target="../tables/table38.xml"/><Relationship Id="rId9" Type="http://schemas.openxmlformats.org/officeDocument/2006/relationships/table" Target="../tables/table43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0.xml"/><Relationship Id="rId3" Type="http://schemas.openxmlformats.org/officeDocument/2006/relationships/table" Target="../tables/table45.xml"/><Relationship Id="rId7" Type="http://schemas.openxmlformats.org/officeDocument/2006/relationships/table" Target="../tables/table49.xml"/><Relationship Id="rId2" Type="http://schemas.openxmlformats.org/officeDocument/2006/relationships/table" Target="../tables/table44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48.xml"/><Relationship Id="rId5" Type="http://schemas.openxmlformats.org/officeDocument/2006/relationships/table" Target="../tables/table47.xml"/><Relationship Id="rId4" Type="http://schemas.openxmlformats.org/officeDocument/2006/relationships/table" Target="../tables/table46.xml"/><Relationship Id="rId9" Type="http://schemas.openxmlformats.org/officeDocument/2006/relationships/table" Target="../tables/table51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8.xml"/><Relationship Id="rId3" Type="http://schemas.openxmlformats.org/officeDocument/2006/relationships/table" Target="../tables/table53.xml"/><Relationship Id="rId7" Type="http://schemas.openxmlformats.org/officeDocument/2006/relationships/table" Target="../tables/table57.xml"/><Relationship Id="rId2" Type="http://schemas.openxmlformats.org/officeDocument/2006/relationships/table" Target="../tables/table52.xml"/><Relationship Id="rId1" Type="http://schemas.openxmlformats.org/officeDocument/2006/relationships/printerSettings" Target="../printerSettings/printerSettings9.bin"/><Relationship Id="rId6" Type="http://schemas.openxmlformats.org/officeDocument/2006/relationships/table" Target="../tables/table56.xml"/><Relationship Id="rId5" Type="http://schemas.openxmlformats.org/officeDocument/2006/relationships/table" Target="../tables/table55.xml"/><Relationship Id="rId4" Type="http://schemas.openxmlformats.org/officeDocument/2006/relationships/table" Target="../tables/table54.xml"/><Relationship Id="rId9" Type="http://schemas.openxmlformats.org/officeDocument/2006/relationships/table" Target="../tables/table5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P133"/>
  <sheetViews>
    <sheetView tabSelected="1" zoomScale="85" zoomScaleNormal="85" zoomScalePageLayoutView="85" workbookViewId="0">
      <selection sqref="A1:O1"/>
    </sheetView>
  </sheetViews>
  <sheetFormatPr baseColWidth="10" defaultRowHeight="18" x14ac:dyDescent="0.25"/>
  <cols>
    <col min="1" max="1" width="8.42578125" style="9" customWidth="1"/>
    <col min="2" max="2" width="26.28515625" style="10" customWidth="1"/>
    <col min="3" max="3" width="17.140625" customWidth="1"/>
    <col min="4" max="4" width="24.140625" bestFit="1" customWidth="1"/>
    <col min="5" max="5" width="11.28515625" style="11" customWidth="1"/>
    <col min="6" max="6" width="12.42578125" style="11" customWidth="1"/>
    <col min="7" max="8" width="11.28515625" style="11" customWidth="1"/>
    <col min="9" max="11" width="11.28515625" style="12" customWidth="1"/>
    <col min="12" max="12" width="8.42578125" style="12" customWidth="1"/>
    <col min="13" max="13" width="12" style="12" customWidth="1"/>
    <col min="14" max="14" width="12" style="11" customWidth="1"/>
    <col min="15" max="15" width="11" style="9" customWidth="1"/>
    <col min="16" max="16" width="10.7109375" bestFit="1" customWidth="1"/>
  </cols>
  <sheetData>
    <row r="1" spans="1:16" ht="77.45" customHeight="1" thickBot="1" x14ac:dyDescent="0.25">
      <c r="A1" s="257" t="s">
        <v>161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6" ht="12.75" customHeight="1" thickBot="1" x14ac:dyDescent="0.45">
      <c r="A2" s="1"/>
      <c r="B2" s="2"/>
      <c r="C2" s="2"/>
      <c r="D2" s="2"/>
      <c r="E2" s="3"/>
      <c r="F2" s="3"/>
      <c r="G2" s="3"/>
      <c r="H2" s="3"/>
      <c r="I2" s="4"/>
      <c r="J2" s="4"/>
      <c r="K2" s="4"/>
      <c r="L2" s="4"/>
      <c r="M2" s="4"/>
      <c r="N2" s="3"/>
      <c r="O2" s="1"/>
    </row>
    <row r="3" spans="1:16" ht="45" customHeight="1" thickBot="1" x14ac:dyDescent="0.45">
      <c r="B3" s="41" t="s">
        <v>1</v>
      </c>
      <c r="C3" s="42"/>
      <c r="D3" s="43"/>
      <c r="E3" s="18" t="s">
        <v>2</v>
      </c>
      <c r="F3" s="18" t="s">
        <v>3</v>
      </c>
      <c r="G3" s="16" t="s">
        <v>4</v>
      </c>
      <c r="H3" s="16" t="s">
        <v>5</v>
      </c>
      <c r="I3" s="16" t="s">
        <v>72</v>
      </c>
      <c r="J3" s="16" t="s">
        <v>87</v>
      </c>
      <c r="K3" s="16" t="s">
        <v>88</v>
      </c>
      <c r="L3" s="5"/>
      <c r="M3" s="17"/>
      <c r="N3" s="13"/>
      <c r="O3" s="6"/>
    </row>
    <row r="4" spans="1:16" ht="77.099999999999994" customHeight="1" thickBot="1" x14ac:dyDescent="0.3">
      <c r="B4" s="47" t="s">
        <v>80</v>
      </c>
      <c r="C4" s="48" t="s">
        <v>81</v>
      </c>
      <c r="D4" s="49" t="s">
        <v>82</v>
      </c>
      <c r="E4" s="50" t="s">
        <v>162</v>
      </c>
      <c r="F4" s="50" t="s">
        <v>163</v>
      </c>
      <c r="G4" s="50" t="s">
        <v>164</v>
      </c>
      <c r="H4" s="50" t="s">
        <v>165</v>
      </c>
      <c r="I4" s="50" t="s">
        <v>166</v>
      </c>
      <c r="J4" s="50" t="s">
        <v>167</v>
      </c>
      <c r="K4" s="50" t="s">
        <v>168</v>
      </c>
      <c r="L4" s="51" t="s">
        <v>0</v>
      </c>
      <c r="M4" s="52" t="s">
        <v>118</v>
      </c>
      <c r="N4" s="52" t="s">
        <v>119</v>
      </c>
      <c r="O4" s="53" t="s">
        <v>179</v>
      </c>
      <c r="P4" s="61" t="s">
        <v>158</v>
      </c>
    </row>
    <row r="5" spans="1:16" ht="20.100000000000001" customHeight="1" x14ac:dyDescent="0.4">
      <c r="B5" s="189" t="s">
        <v>173</v>
      </c>
      <c r="C5" s="190" t="s">
        <v>174</v>
      </c>
      <c r="D5" s="191" t="s">
        <v>74</v>
      </c>
      <c r="E5" s="34">
        <f>_xlfn.IFNA(VLOOKUP(TRIM(CONCATENATE(Tableau1[[#This Row],[PRENOM]],Tableau1[[#This Row],[NOM]])),'T1'!$C$5:$E$106,3,FALSE),90)</f>
        <v>53</v>
      </c>
      <c r="F5" s="34">
        <f>_xlfn.IFNA(VLOOKUP(TRIM(CONCATENATE(Tableau1[[#This Row],[PRENOM]],Tableau1[[#This Row],[NOM]])),'T2'!$C$5:$E$111,3,FALSE),90)</f>
        <v>57</v>
      </c>
      <c r="G5" s="34">
        <f>_xlfn.IFNA(VLOOKUP(TRIM(CONCATENATE(Tableau1[[#This Row],[PRENOM]],Tableau1[[#This Row],[NOM]])),'T3'!$C$5:$E$107,3,FALSE),90)</f>
        <v>54</v>
      </c>
      <c r="H5" s="34">
        <f>_xlfn.IFNA(VLOOKUP(TRIM(CONCATENATE(Tableau1[[#This Row],[PRENOM]],Tableau1[[#This Row],[NOM]])),'T4'!$C$5:$E$108,3,FALSE),90)</f>
        <v>64</v>
      </c>
      <c r="I5" s="34">
        <f>_xlfn.IFNA(VLOOKUP(TRIM(CONCATENATE(Tableau1[[#This Row],[PRENOM]],Tableau1[[#This Row],[NOM]])),'T5'!$C$5:$E$105,3,FALSE),90)</f>
        <v>58</v>
      </c>
      <c r="J5" s="34">
        <f>_xlfn.IFNA(VLOOKUP(TRIM(CONCATENATE(Tableau1[[#This Row],[PRENOM]],Tableau1[[#This Row],[NOM]])),'T6'!$C$5:$E$118,3,FALSE),90)</f>
        <v>59</v>
      </c>
      <c r="K5" s="34">
        <f>_xlfn.IFNA(VLOOKUP(TRIM(CONCATENATE(Tableau1[[#This Row],[PRENOM]],Tableau1[[#This Row],[NOM]])),'T7'!$C$5:$E$106,3,FALSE),90)</f>
        <v>58</v>
      </c>
      <c r="L5" s="73">
        <f t="shared" ref="L5:L36" si="0">SUM(E5:K5)</f>
        <v>403</v>
      </c>
      <c r="M5" s="75">
        <f t="shared" ref="M5:M36" si="1">LARGE(E5:K5,1)</f>
        <v>64</v>
      </c>
      <c r="N5" s="76">
        <f t="shared" ref="N5:N36" si="2">LARGE(E5:K5,2)</f>
        <v>59</v>
      </c>
      <c r="O5" s="70">
        <f t="shared" ref="O5:O36" si="3">L5-M5-N5</f>
        <v>280</v>
      </c>
      <c r="P5" s="188">
        <f>RANK(Tableau1[[#This Row],[SCORE
Final 
2025]],Tableau1[SCORE
Final 
2025],1)</f>
        <v>1</v>
      </c>
    </row>
    <row r="6" spans="1:16" ht="20.100000000000001" customHeight="1" x14ac:dyDescent="0.4">
      <c r="B6" s="7" t="s">
        <v>11</v>
      </c>
      <c r="C6" s="7" t="s">
        <v>12</v>
      </c>
      <c r="D6" s="31" t="s">
        <v>13</v>
      </c>
      <c r="E6" s="34">
        <f>_xlfn.IFNA(VLOOKUP(TRIM(CONCATENATE(Tableau1[[#This Row],[PRENOM]],Tableau1[[#This Row],[NOM]])),'T1'!$C$5:$E$106,3,FALSE),90)</f>
        <v>61</v>
      </c>
      <c r="F6" s="34">
        <f>_xlfn.IFNA(VLOOKUP(TRIM(CONCATENATE(Tableau1[[#This Row],[PRENOM]],Tableau1[[#This Row],[NOM]])),'T2'!$C$5:$E$111,3,FALSE),90)</f>
        <v>66</v>
      </c>
      <c r="G6" s="34">
        <f>_xlfn.IFNA(VLOOKUP(TRIM(CONCATENATE(Tableau1[[#This Row],[PRENOM]],Tableau1[[#This Row],[NOM]])),'T3'!$C$5:$E$107,3,FALSE),90)</f>
        <v>55</v>
      </c>
      <c r="H6" s="34">
        <v>60</v>
      </c>
      <c r="I6" s="34">
        <f>_xlfn.IFNA(VLOOKUP(TRIM(CONCATENATE(Tableau1[[#This Row],[PRENOM]],Tableau1[[#This Row],[NOM]])),'T5'!$C$5:$E$105,3,FALSE),90)</f>
        <v>58</v>
      </c>
      <c r="J6" s="34">
        <f>_xlfn.IFNA(VLOOKUP(TRIM(CONCATENATE(Tableau1[[#This Row],[PRENOM]],Tableau1[[#This Row],[NOM]])),'T6'!$C$5:$E$118,3,FALSE),90)</f>
        <v>53</v>
      </c>
      <c r="K6" s="34">
        <f>_xlfn.IFNA(VLOOKUP(TRIM(CONCATENATE(Tableau1[[#This Row],[PRENOM]],Tableau1[[#This Row],[NOM]])),'T7'!$C$5:$E$106,3,FALSE),90)</f>
        <v>57</v>
      </c>
      <c r="L6" s="35">
        <f t="shared" si="0"/>
        <v>410</v>
      </c>
      <c r="M6" s="38">
        <f t="shared" si="1"/>
        <v>66</v>
      </c>
      <c r="N6" s="39">
        <f t="shared" si="2"/>
        <v>61</v>
      </c>
      <c r="O6" s="33">
        <f t="shared" si="3"/>
        <v>283</v>
      </c>
      <c r="P6" s="33">
        <f>RANK(Tableau1[[#This Row],[SCORE
Final 
2025]],Tableau1[SCORE
Final 
2025],1)</f>
        <v>2</v>
      </c>
    </row>
    <row r="7" spans="1:16" ht="20.100000000000001" customHeight="1" x14ac:dyDescent="0.4">
      <c r="B7" s="7" t="s">
        <v>86</v>
      </c>
      <c r="C7" s="7" t="s">
        <v>52</v>
      </c>
      <c r="D7" s="26" t="s">
        <v>130</v>
      </c>
      <c r="E7" s="34">
        <f>_xlfn.IFNA(VLOOKUP(TRIM(CONCATENATE(Tableau1[[#This Row],[PRENOM]],Tableau1[[#This Row],[NOM]])),'T1'!$C$5:$E$106,3,FALSE),90)</f>
        <v>62</v>
      </c>
      <c r="F7" s="34">
        <f>_xlfn.IFNA(VLOOKUP(TRIM(CONCATENATE(Tableau1[[#This Row],[PRENOM]],Tableau1[[#This Row],[NOM]])),'T2'!$C$5:$E$111,3,FALSE),90)</f>
        <v>71</v>
      </c>
      <c r="G7" s="34">
        <f>_xlfn.IFNA(VLOOKUP(TRIM(CONCATENATE(Tableau1[[#This Row],[PRENOM]],Tableau1[[#This Row],[NOM]])),'T3'!$C$5:$E$107,3,FALSE),90)</f>
        <v>58</v>
      </c>
      <c r="H7" s="34">
        <f>_xlfn.IFNA(VLOOKUP(TRIM(CONCATENATE(Tableau1[[#This Row],[PRENOM]],Tableau1[[#This Row],[NOM]])),'T4'!$C$5:$E$108,3,FALSE),90)</f>
        <v>64</v>
      </c>
      <c r="I7" s="34">
        <v>56</v>
      </c>
      <c r="J7" s="34">
        <f>_xlfn.IFNA(VLOOKUP(TRIM(CONCATENATE(Tableau1[[#This Row],[PRENOM]],Tableau1[[#This Row],[NOM]])),'T6'!$C$5:$E$118,3,FALSE),90)</f>
        <v>57</v>
      </c>
      <c r="K7" s="34">
        <v>67</v>
      </c>
      <c r="L7" s="35">
        <f t="shared" si="0"/>
        <v>435</v>
      </c>
      <c r="M7" s="38">
        <f t="shared" si="1"/>
        <v>71</v>
      </c>
      <c r="N7" s="39">
        <f t="shared" si="2"/>
        <v>67</v>
      </c>
      <c r="O7" s="33">
        <f t="shared" si="3"/>
        <v>297</v>
      </c>
      <c r="P7" s="33">
        <f>RANK(Tableau1[[#This Row],[SCORE
Final 
2025]],Tableau1[SCORE
Final 
2025],1)</f>
        <v>3</v>
      </c>
    </row>
    <row r="8" spans="1:16" ht="20.100000000000001" customHeight="1" x14ac:dyDescent="0.4">
      <c r="B8" s="251" t="s">
        <v>20</v>
      </c>
      <c r="C8" s="251" t="s">
        <v>250</v>
      </c>
      <c r="D8" s="26" t="s">
        <v>130</v>
      </c>
      <c r="E8" s="69">
        <f>_xlfn.IFNA(VLOOKUP(TRIM(CONCATENATE(Tableau1[[#This Row],[PRENOM]],Tableau1[[#This Row],[NOM]])),'T1'!$C$5:$E$106,3,FALSE),90)</f>
        <v>63</v>
      </c>
      <c r="F8" s="69">
        <f>_xlfn.IFNA(VLOOKUP(TRIM(CONCATENATE(Tableau1[[#This Row],[PRENOM]],Tableau1[[#This Row],[NOM]])),'T2'!$C$5:$E$111,3,FALSE),90)</f>
        <v>68</v>
      </c>
      <c r="G8" s="69">
        <f>_xlfn.IFNA(VLOOKUP(TRIM(CONCATENATE(Tableau1[[#This Row],[PRENOM]],Tableau1[[#This Row],[NOM]])),'T3'!$C$5:$E$107,3,FALSE),90)</f>
        <v>58</v>
      </c>
      <c r="H8" s="69">
        <v>61</v>
      </c>
      <c r="I8" s="69">
        <f>_xlfn.IFNA(VLOOKUP(TRIM(CONCATENATE(Tableau1[[#This Row],[PRENOM]],Tableau1[[#This Row],[NOM]])),'T5'!$C$5:$E$105,3,FALSE),90)</f>
        <v>63</v>
      </c>
      <c r="J8" s="69">
        <f>_xlfn.IFNA(VLOOKUP(TRIM(CONCATENATE(Tableau1[[#This Row],[PRENOM]],Tableau1[[#This Row],[NOM]])),'T6'!$C$5:$E$118,3,FALSE),90)</f>
        <v>58</v>
      </c>
      <c r="K8" s="69">
        <f>_xlfn.IFNA(VLOOKUP(TRIM(CONCATENATE(Tableau1[[#This Row],[PRENOM]],Tableau1[[#This Row],[NOM]])),'T7'!$C$5:$E$106,3,FALSE),90)</f>
        <v>58</v>
      </c>
      <c r="L8" s="74">
        <f t="shared" si="0"/>
        <v>429</v>
      </c>
      <c r="M8" s="71">
        <f t="shared" si="1"/>
        <v>68</v>
      </c>
      <c r="N8" s="72">
        <f t="shared" si="2"/>
        <v>63</v>
      </c>
      <c r="O8" s="33">
        <f t="shared" si="3"/>
        <v>298</v>
      </c>
      <c r="P8" s="33">
        <f>RANK(Tableau1[[#This Row],[SCORE
Final 
2025]],Tableau1[SCORE
Final 
2025],1)</f>
        <v>4</v>
      </c>
    </row>
    <row r="9" spans="1:16" ht="20.100000000000001" customHeight="1" x14ac:dyDescent="0.4">
      <c r="B9" s="7" t="s">
        <v>49</v>
      </c>
      <c r="C9" s="7" t="s">
        <v>50</v>
      </c>
      <c r="D9" s="31" t="s">
        <v>13</v>
      </c>
      <c r="E9" s="69">
        <f>_xlfn.IFNA(VLOOKUP(TRIM(CONCATENATE(Tableau1[[#This Row],[PRENOM]],Tableau1[[#This Row],[NOM]])),'T1'!$C$5:$E$106,3,FALSE),90)</f>
        <v>64</v>
      </c>
      <c r="F9" s="34">
        <f>_xlfn.IFNA(VLOOKUP(TRIM(CONCATENATE(Tableau1[[#This Row],[PRENOM]],Tableau1[[#This Row],[NOM]])),'T2'!$C$5:$E$111,3,FALSE),90)</f>
        <v>64</v>
      </c>
      <c r="G9" s="69">
        <f>_xlfn.IFNA(VLOOKUP(TRIM(CONCATENATE(Tableau1[[#This Row],[PRENOM]],Tableau1[[#This Row],[NOM]])),'T3'!$C$5:$E$107,3,FALSE),90)</f>
        <v>59</v>
      </c>
      <c r="H9" s="69">
        <f>_xlfn.IFNA(VLOOKUP(TRIM(CONCATENATE(Tableau1[[#This Row],[PRENOM]],Tableau1[[#This Row],[NOM]])),'T4'!$C$5:$E$108,3,FALSE),90)</f>
        <v>61</v>
      </c>
      <c r="I9" s="69">
        <f>_xlfn.IFNA(VLOOKUP(TRIM(CONCATENATE(Tableau1[[#This Row],[PRENOM]],Tableau1[[#This Row],[NOM]])),'T5'!$C$5:$E$105,3,FALSE),90)</f>
        <v>54</v>
      </c>
      <c r="J9" s="69">
        <f>_xlfn.IFNA(VLOOKUP(TRIM(CONCATENATE(Tableau1[[#This Row],[PRENOM]],Tableau1[[#This Row],[NOM]])),'T6'!$C$5:$E$118,3,FALSE),90)</f>
        <v>90</v>
      </c>
      <c r="K9" s="69">
        <f>_xlfn.IFNA(VLOOKUP(TRIM(CONCATENATE(Tableau1[[#This Row],[PRENOM]],Tableau1[[#This Row],[NOM]])),'T7'!$C$5:$E$106,3,FALSE),90)</f>
        <v>60</v>
      </c>
      <c r="L9" s="35">
        <f t="shared" si="0"/>
        <v>452</v>
      </c>
      <c r="M9" s="38">
        <f t="shared" si="1"/>
        <v>90</v>
      </c>
      <c r="N9" s="39">
        <f t="shared" si="2"/>
        <v>64</v>
      </c>
      <c r="O9" s="33">
        <f t="shared" si="3"/>
        <v>298</v>
      </c>
      <c r="P9" s="33">
        <f>RANK(Tableau1[[#This Row],[SCORE
Final 
2025]],Tableau1[SCORE
Final 
2025],1)</f>
        <v>4</v>
      </c>
    </row>
    <row r="10" spans="1:16" ht="20.100000000000001" customHeight="1" x14ac:dyDescent="0.4">
      <c r="B10" s="7" t="s">
        <v>17</v>
      </c>
      <c r="C10" s="7" t="s">
        <v>18</v>
      </c>
      <c r="D10" s="26" t="s">
        <v>130</v>
      </c>
      <c r="E10" s="34">
        <f>_xlfn.IFNA(VLOOKUP(TRIM(CONCATENATE(Tableau1[[#This Row],[PRENOM]],Tableau1[[#This Row],[NOM]])),'T1'!$C$5:$E$106,3,FALSE),90)</f>
        <v>59</v>
      </c>
      <c r="F10" s="34">
        <f>_xlfn.IFNA(VLOOKUP(TRIM(CONCATENATE(Tableau1[[#This Row],[PRENOM]],Tableau1[[#This Row],[NOM]])),'T2'!$C$5:$E$111,3,FALSE),90)</f>
        <v>65</v>
      </c>
      <c r="G10" s="34">
        <f>_xlfn.IFNA(VLOOKUP(TRIM(CONCATENATE(Tableau1[[#This Row],[PRENOM]],Tableau1[[#This Row],[NOM]])),'T3'!$C$5:$E$107,3,FALSE),90)</f>
        <v>90</v>
      </c>
      <c r="H10" s="34">
        <f>_xlfn.IFNA(VLOOKUP(TRIM(CONCATENATE(Tableau1[[#This Row],[PRENOM]],Tableau1[[#This Row],[NOM]])),'T4'!$C$5:$E$108,3,FALSE),90)</f>
        <v>64</v>
      </c>
      <c r="I10" s="34">
        <f>_xlfn.IFNA(VLOOKUP(TRIM(CONCATENATE(Tableau1[[#This Row],[PRENOM]],Tableau1[[#This Row],[NOM]])),'T5'!$C$5:$E$105,3,FALSE),90)</f>
        <v>69</v>
      </c>
      <c r="J10" s="34">
        <f>_xlfn.IFNA(VLOOKUP(TRIM(CONCATENATE(Tableau1[[#This Row],[PRENOM]],Tableau1[[#This Row],[NOM]])),'T6'!$C$5:$E$118,3,FALSE),90)</f>
        <v>55</v>
      </c>
      <c r="K10" s="34">
        <f>_xlfn.IFNA(VLOOKUP(TRIM(CONCATENATE(Tableau1[[#This Row],[PRENOM]],Tableau1[[#This Row],[NOM]])),'T7'!$C$5:$E$106,3,FALSE),90)</f>
        <v>60</v>
      </c>
      <c r="L10" s="35">
        <f t="shared" si="0"/>
        <v>462</v>
      </c>
      <c r="M10" s="38">
        <f t="shared" si="1"/>
        <v>90</v>
      </c>
      <c r="N10" s="39">
        <f t="shared" si="2"/>
        <v>69</v>
      </c>
      <c r="O10" s="33">
        <f t="shared" si="3"/>
        <v>303</v>
      </c>
      <c r="P10" s="33">
        <f>RANK(Tableau1[[#This Row],[SCORE
Final 
2025]],Tableau1[SCORE
Final 
2025],1)</f>
        <v>6</v>
      </c>
    </row>
    <row r="11" spans="1:16" ht="20.100000000000001" customHeight="1" x14ac:dyDescent="0.4">
      <c r="B11" s="7" t="s">
        <v>51</v>
      </c>
      <c r="C11" s="7" t="s">
        <v>44</v>
      </c>
      <c r="D11" s="31" t="s">
        <v>13</v>
      </c>
      <c r="E11" s="34">
        <f>_xlfn.IFNA(VLOOKUP(TRIM(CONCATENATE(Tableau1[[#This Row],[PRENOM]],Tableau1[[#This Row],[NOM]])),'T1'!$C$5:$E$106,3,FALSE),90)</f>
        <v>67</v>
      </c>
      <c r="F11" s="34">
        <f>_xlfn.IFNA(VLOOKUP(TRIM(CONCATENATE(Tableau1[[#This Row],[PRENOM]],Tableau1[[#This Row],[NOM]])),'T2'!$C$5:$E$111,3,FALSE),90)</f>
        <v>90</v>
      </c>
      <c r="G11" s="34">
        <f>_xlfn.IFNA(VLOOKUP(TRIM(CONCATENATE(Tableau1[[#This Row],[PRENOM]],Tableau1[[#This Row],[NOM]])),'T3'!$C$5:$E$107,3,FALSE),90)</f>
        <v>64</v>
      </c>
      <c r="H11" s="34">
        <f>_xlfn.IFNA(VLOOKUP(TRIM(CONCATENATE(Tableau1[[#This Row],[PRENOM]],Tableau1[[#This Row],[NOM]])),'T4'!$C$5:$E$108,3,FALSE),90)</f>
        <v>90</v>
      </c>
      <c r="I11" s="34">
        <f>_xlfn.IFNA(VLOOKUP(TRIM(CONCATENATE(Tableau1[[#This Row],[PRENOM]],Tableau1[[#This Row],[NOM]])),'T5'!$C$5:$E$105,3,FALSE),90)</f>
        <v>55</v>
      </c>
      <c r="J11" s="34">
        <f>_xlfn.IFNA(VLOOKUP(TRIM(CONCATENATE(Tableau1[[#This Row],[PRENOM]],Tableau1[[#This Row],[NOM]])),'T6'!$C$5:$E$118,3,FALSE),90)</f>
        <v>54</v>
      </c>
      <c r="K11" s="34">
        <f>_xlfn.IFNA(VLOOKUP(TRIM(CONCATENATE(Tableau1[[#This Row],[PRENOM]],Tableau1[[#This Row],[NOM]])),'T7'!$C$5:$E$106,3,FALSE),90)</f>
        <v>63</v>
      </c>
      <c r="L11" s="35">
        <f t="shared" si="0"/>
        <v>483</v>
      </c>
      <c r="M11" s="38">
        <f t="shared" si="1"/>
        <v>90</v>
      </c>
      <c r="N11" s="39">
        <f t="shared" si="2"/>
        <v>90</v>
      </c>
      <c r="O11" s="33">
        <f t="shared" si="3"/>
        <v>303</v>
      </c>
      <c r="P11" s="33">
        <f>RANK(Tableau1[[#This Row],[SCORE
Final 
2025]],Tableau1[SCORE
Final 
2025],1)</f>
        <v>6</v>
      </c>
    </row>
    <row r="12" spans="1:16" ht="20.100000000000001" customHeight="1" x14ac:dyDescent="0.4">
      <c r="B12" s="7" t="s">
        <v>182</v>
      </c>
      <c r="C12" s="7" t="s">
        <v>183</v>
      </c>
      <c r="D12" s="31" t="s">
        <v>13</v>
      </c>
      <c r="E12" s="34">
        <f>_xlfn.IFNA(VLOOKUP(TRIM(CONCATENATE(Tableau1[[#This Row],[PRENOM]],Tableau1[[#This Row],[NOM]])),'T1'!$C$5:$E$106,3,FALSE),90)</f>
        <v>62</v>
      </c>
      <c r="F12" s="34">
        <f>_xlfn.IFNA(VLOOKUP(TRIM(CONCATENATE(Tableau1[[#This Row],[PRENOM]],Tableau1[[#This Row],[NOM]])),'T2'!$C$5:$E$111,3,FALSE),90)</f>
        <v>90</v>
      </c>
      <c r="G12" s="34">
        <f>_xlfn.IFNA(VLOOKUP(TRIM(CONCATENATE(Tableau1[[#This Row],[PRENOM]],Tableau1[[#This Row],[NOM]])),'T3'!$C$5:$E$107,3,FALSE),90)</f>
        <v>65</v>
      </c>
      <c r="H12" s="34">
        <f>_xlfn.IFNA(VLOOKUP(TRIM(CONCATENATE(Tableau1[[#This Row],[PRENOM]],Tableau1[[#This Row],[NOM]])),'T4'!$C$5:$E$108,3,FALSE),90)</f>
        <v>62</v>
      </c>
      <c r="I12" s="34">
        <f>_xlfn.IFNA(VLOOKUP(TRIM(CONCATENATE(Tableau1[[#This Row],[PRENOM]],Tableau1[[#This Row],[NOM]])),'T5'!$C$5:$E$105,3,FALSE),90)</f>
        <v>61</v>
      </c>
      <c r="J12" s="34">
        <f>_xlfn.IFNA(VLOOKUP(TRIM(CONCATENATE(Tableau1[[#This Row],[PRENOM]],Tableau1[[#This Row],[NOM]])),'T6'!$C$5:$E$118,3,FALSE),90)</f>
        <v>58</v>
      </c>
      <c r="K12" s="34">
        <v>66</v>
      </c>
      <c r="L12" s="35">
        <f t="shared" si="0"/>
        <v>464</v>
      </c>
      <c r="M12" s="38">
        <f t="shared" si="1"/>
        <v>90</v>
      </c>
      <c r="N12" s="39">
        <f t="shared" si="2"/>
        <v>66</v>
      </c>
      <c r="O12" s="33">
        <f t="shared" si="3"/>
        <v>308</v>
      </c>
      <c r="P12" s="33">
        <f>RANK(Tableau1[[#This Row],[SCORE
Final 
2025]],Tableau1[SCORE
Final 
2025],1)</f>
        <v>8</v>
      </c>
    </row>
    <row r="13" spans="1:16" ht="21.75" customHeight="1" x14ac:dyDescent="0.4">
      <c r="B13" s="218" t="s">
        <v>139</v>
      </c>
      <c r="C13" s="218" t="s">
        <v>7</v>
      </c>
      <c r="D13" s="29" t="s">
        <v>19</v>
      </c>
      <c r="E13" s="34">
        <f>_xlfn.IFNA(VLOOKUP(TRIM(CONCATENATE(Tableau1[[#This Row],[PRENOM]],Tableau1[[#This Row],[NOM]])),'T1'!$C$5:$E$106,3,FALSE),90)</f>
        <v>57</v>
      </c>
      <c r="F13" s="34">
        <f>_xlfn.IFNA(VLOOKUP(TRIM(CONCATENATE(Tableau1[[#This Row],[PRENOM]],Tableau1[[#This Row],[NOM]])),'T2'!$C$5:$E$111,3,FALSE),90)</f>
        <v>62</v>
      </c>
      <c r="G13" s="34">
        <f>_xlfn.IFNA(VLOOKUP(TRIM(CONCATENATE(Tableau1[[#This Row],[PRENOM]],Tableau1[[#This Row],[NOM]])),'T3'!$C$5:$E$107,3,FALSE),90)</f>
        <v>90</v>
      </c>
      <c r="H13" s="34">
        <f>_xlfn.IFNA(VLOOKUP(TRIM(CONCATENATE(Tableau1[[#This Row],[PRENOM]],Tableau1[[#This Row],[NOM]])),'T4'!$C$5:$E$108,3,FALSE),90)</f>
        <v>74</v>
      </c>
      <c r="I13" s="34">
        <f>_xlfn.IFNA(VLOOKUP(TRIM(CONCATENATE(Tableau1[[#This Row],[PRENOM]],Tableau1[[#This Row],[NOM]])),'T5'!$C$5:$E$105,3,FALSE),90)</f>
        <v>64</v>
      </c>
      <c r="J13" s="34">
        <f>_xlfn.IFNA(VLOOKUP(TRIM(CONCATENATE(Tableau1[[#This Row],[PRENOM]],Tableau1[[#This Row],[NOM]])),'T6'!$C$5:$E$118,3,FALSE),90)</f>
        <v>66</v>
      </c>
      <c r="K13" s="34">
        <f>_xlfn.IFNA(VLOOKUP(TRIM(CONCATENATE(Tableau1[[#This Row],[PRENOM]],Tableau1[[#This Row],[NOM]])),'T7'!$C$5:$E$106,3,FALSE),90)</f>
        <v>61</v>
      </c>
      <c r="L13" s="35">
        <f t="shared" si="0"/>
        <v>474</v>
      </c>
      <c r="M13" s="38">
        <f t="shared" si="1"/>
        <v>90</v>
      </c>
      <c r="N13" s="39">
        <f t="shared" si="2"/>
        <v>74</v>
      </c>
      <c r="O13" s="33">
        <f t="shared" si="3"/>
        <v>310</v>
      </c>
      <c r="P13" s="33">
        <f>RANK(Tableau1[[#This Row],[SCORE
Final 
2025]],Tableau1[SCORE
Final 
2025],1)</f>
        <v>9</v>
      </c>
    </row>
    <row r="14" spans="1:16" ht="21.75" customHeight="1" x14ac:dyDescent="0.4">
      <c r="B14" s="247" t="s">
        <v>15</v>
      </c>
      <c r="C14" s="15" t="s">
        <v>16</v>
      </c>
      <c r="D14" s="30" t="s">
        <v>8</v>
      </c>
      <c r="E14" s="69">
        <f>_xlfn.IFNA(VLOOKUP(TRIM(CONCATENATE(Tableau1[[#This Row],[PRENOM]],Tableau1[[#This Row],[NOM]])),'T1'!$C$5:$E$106,3,FALSE),90)</f>
        <v>62</v>
      </c>
      <c r="F14" s="34">
        <f>_xlfn.IFNA(VLOOKUP(TRIM(CONCATENATE(Tableau1[[#This Row],[PRENOM]],Tableau1[[#This Row],[NOM]])),'T2'!$C$5:$E$111,3,FALSE),90)</f>
        <v>69</v>
      </c>
      <c r="G14" s="69">
        <f>_xlfn.IFNA(VLOOKUP(TRIM(CONCATENATE(Tableau1[[#This Row],[PRENOM]],Tableau1[[#This Row],[NOM]])),'T3'!$C$5:$E$107,3,FALSE),90)</f>
        <v>62</v>
      </c>
      <c r="H14" s="69">
        <f>_xlfn.IFNA(VLOOKUP(TRIM(CONCATENATE(Tableau1[[#This Row],[PRENOM]],Tableau1[[#This Row],[NOM]])),'T4'!$C$5:$E$108,3,FALSE),90)</f>
        <v>67</v>
      </c>
      <c r="I14" s="69">
        <f>_xlfn.IFNA(VLOOKUP(TRIM(CONCATENATE(Tableau1[[#This Row],[PRENOM]],Tableau1[[#This Row],[NOM]])),'T5'!$C$5:$E$105,3,FALSE),90)</f>
        <v>59</v>
      </c>
      <c r="J14" s="69">
        <f>_xlfn.IFNA(VLOOKUP(TRIM(CONCATENATE(Tableau1[[#This Row],[PRENOM]],Tableau1[[#This Row],[NOM]])),'T6'!$C$5:$E$118,3,FALSE),90)</f>
        <v>63</v>
      </c>
      <c r="K14" s="69">
        <f>_xlfn.IFNA(VLOOKUP(TRIM(CONCATENATE(Tableau1[[#This Row],[PRENOM]],Tableau1[[#This Row],[NOM]])),'T7'!$C$5:$E$106,3,FALSE),90)</f>
        <v>65</v>
      </c>
      <c r="L14" s="74">
        <f t="shared" si="0"/>
        <v>447</v>
      </c>
      <c r="M14" s="71">
        <f t="shared" si="1"/>
        <v>69</v>
      </c>
      <c r="N14" s="72">
        <f t="shared" si="2"/>
        <v>67</v>
      </c>
      <c r="O14" s="33">
        <f t="shared" si="3"/>
        <v>311</v>
      </c>
      <c r="P14" s="33">
        <f>RANK(Tableau1[[#This Row],[SCORE
Final 
2025]],Tableau1[SCORE
Final 
2025],1)</f>
        <v>10</v>
      </c>
    </row>
    <row r="15" spans="1:16" ht="21.75" customHeight="1" x14ac:dyDescent="0.4">
      <c r="B15" s="7" t="s">
        <v>69</v>
      </c>
      <c r="C15" s="7" t="s">
        <v>47</v>
      </c>
      <c r="D15" s="29" t="s">
        <v>19</v>
      </c>
      <c r="E15" s="34">
        <f>_xlfn.IFNA(VLOOKUP(TRIM(CONCATENATE(Tableau1[[#This Row],[PRENOM]],Tableau1[[#This Row],[NOM]])),'T1'!$C$5:$E$106,3,FALSE),90)</f>
        <v>75</v>
      </c>
      <c r="F15" s="34">
        <f>_xlfn.IFNA(VLOOKUP(TRIM(CONCATENATE(Tableau1[[#This Row],[PRENOM]],Tableau1[[#This Row],[NOM]])),'T2'!$C$5:$E$111,3,FALSE),90)</f>
        <v>64</v>
      </c>
      <c r="G15" s="34">
        <f>_xlfn.IFNA(VLOOKUP(TRIM(CONCATENATE(Tableau1[[#This Row],[PRENOM]],Tableau1[[#This Row],[NOM]])),'T3'!$C$5:$E$107,3,FALSE),90)</f>
        <v>60</v>
      </c>
      <c r="H15" s="34">
        <f>_xlfn.IFNA(VLOOKUP(TRIM(CONCATENATE(Tableau1[[#This Row],[PRENOM]],Tableau1[[#This Row],[NOM]])),'T4'!$C$5:$E$108,3,FALSE),90)</f>
        <v>90</v>
      </c>
      <c r="I15" s="34">
        <f>_xlfn.IFNA(VLOOKUP(TRIM(CONCATENATE(Tableau1[[#This Row],[PRENOM]],Tableau1[[#This Row],[NOM]])),'T5'!$C$5:$E$105,3,FALSE),90)</f>
        <v>65</v>
      </c>
      <c r="J15" s="34">
        <f>_xlfn.IFNA(VLOOKUP(TRIM(CONCATENATE(Tableau1[[#This Row],[PRENOM]],Tableau1[[#This Row],[NOM]])),'T6'!$C$5:$E$118,3,FALSE),90)</f>
        <v>57</v>
      </c>
      <c r="K15" s="34">
        <f>_xlfn.IFNA(VLOOKUP(TRIM(CONCATENATE(Tableau1[[#This Row],[PRENOM]],Tableau1[[#This Row],[NOM]])),'T7'!$C$5:$E$106,3,FALSE),90)</f>
        <v>67</v>
      </c>
      <c r="L15" s="35">
        <f t="shared" si="0"/>
        <v>478</v>
      </c>
      <c r="M15" s="38">
        <f t="shared" si="1"/>
        <v>90</v>
      </c>
      <c r="N15" s="39">
        <f t="shared" si="2"/>
        <v>75</v>
      </c>
      <c r="O15" s="33">
        <f t="shared" si="3"/>
        <v>313</v>
      </c>
      <c r="P15" s="33">
        <f>RANK(Tableau1[[#This Row],[SCORE
Final 
2025]],Tableau1[SCORE
Final 
2025],1)</f>
        <v>11</v>
      </c>
    </row>
    <row r="16" spans="1:16" ht="21.75" customHeight="1" x14ac:dyDescent="0.4">
      <c r="B16" s="7" t="s">
        <v>38</v>
      </c>
      <c r="C16" s="7" t="s">
        <v>39</v>
      </c>
      <c r="D16" s="30" t="s">
        <v>8</v>
      </c>
      <c r="E16" s="34">
        <f>_xlfn.IFNA(VLOOKUP(TRIM(CONCATENATE(Tableau1[[#This Row],[PRENOM]],Tableau1[[#This Row],[NOM]])),'T1'!$C$5:$E$106,3,FALSE),90)</f>
        <v>63</v>
      </c>
      <c r="F16" s="34">
        <f>_xlfn.IFNA(VLOOKUP(TRIM(CONCATENATE(Tableau1[[#This Row],[PRENOM]],Tableau1[[#This Row],[NOM]])),'T2'!$C$5:$E$111,3,FALSE),90)</f>
        <v>60</v>
      </c>
      <c r="G16" s="34">
        <f>_xlfn.IFNA(VLOOKUP(TRIM(CONCATENATE(Tableau1[[#This Row],[PRENOM]],Tableau1[[#This Row],[NOM]])),'T3'!$C$5:$E$107,3,FALSE),90)</f>
        <v>62</v>
      </c>
      <c r="H16" s="34">
        <f>_xlfn.IFNA(VLOOKUP(TRIM(CONCATENATE(Tableau1[[#This Row],[PRENOM]],Tableau1[[#This Row],[NOM]])),'T4'!$C$5:$E$108,3,FALSE),90)</f>
        <v>69</v>
      </c>
      <c r="I16" s="34">
        <f>_xlfn.IFNA(VLOOKUP(TRIM(CONCATENATE(Tableau1[[#This Row],[PRENOM]],Tableau1[[#This Row],[NOM]])),'T5'!$C$5:$E$105,3,FALSE),90)</f>
        <v>90</v>
      </c>
      <c r="J16" s="34">
        <f>_xlfn.IFNA(VLOOKUP(TRIM(CONCATENATE(Tableau1[[#This Row],[PRENOM]],Tableau1[[#This Row],[NOM]])),'T6'!$C$5:$E$118,3,FALSE),90)</f>
        <v>90</v>
      </c>
      <c r="K16" s="34">
        <f>_xlfn.IFNA(VLOOKUP(TRIM(CONCATENATE(Tableau1[[#This Row],[PRENOM]],Tableau1[[#This Row],[NOM]])),'T7'!$C$5:$E$106,3,FALSE),90)</f>
        <v>59</v>
      </c>
      <c r="L16" s="35">
        <f t="shared" si="0"/>
        <v>493</v>
      </c>
      <c r="M16" s="38">
        <f t="shared" si="1"/>
        <v>90</v>
      </c>
      <c r="N16" s="39">
        <f t="shared" si="2"/>
        <v>90</v>
      </c>
      <c r="O16" s="33">
        <f t="shared" si="3"/>
        <v>313</v>
      </c>
      <c r="P16" s="33">
        <f>RANK(Tableau1[[#This Row],[SCORE
Final 
2025]],Tableau1[SCORE
Final 
2025],1)</f>
        <v>11</v>
      </c>
    </row>
    <row r="17" spans="2:16" ht="21.75" customHeight="1" x14ac:dyDescent="0.4">
      <c r="B17" s="15" t="s">
        <v>30</v>
      </c>
      <c r="C17" s="15" t="s">
        <v>31</v>
      </c>
      <c r="D17" s="29" t="s">
        <v>19</v>
      </c>
      <c r="E17" s="69">
        <f>_xlfn.IFNA(VLOOKUP(TRIM(CONCATENATE(Tableau1[[#This Row],[PRENOM]],Tableau1[[#This Row],[NOM]])),'T1'!$C$5:$E$106,3,FALSE),90)</f>
        <v>62</v>
      </c>
      <c r="F17" s="34">
        <f>_xlfn.IFNA(VLOOKUP(TRIM(CONCATENATE(Tableau1[[#This Row],[PRENOM]],Tableau1[[#This Row],[NOM]])),'T2'!$C$5:$E$111,3,FALSE),90)</f>
        <v>63</v>
      </c>
      <c r="G17" s="69">
        <f>_xlfn.IFNA(VLOOKUP(TRIM(CONCATENATE(Tableau1[[#This Row],[PRENOM]],Tableau1[[#This Row],[NOM]])),'T3'!$C$5:$E$107,3,FALSE),90)</f>
        <v>59</v>
      </c>
      <c r="H17" s="69">
        <f>_xlfn.IFNA(VLOOKUP(TRIM(CONCATENATE(Tableau1[[#This Row],[PRENOM]],Tableau1[[#This Row],[NOM]])),'T4'!$C$5:$E$108,3,FALSE),90)</f>
        <v>68</v>
      </c>
      <c r="I17" s="69">
        <f>_xlfn.IFNA(VLOOKUP(TRIM(CONCATENATE(Tableau1[[#This Row],[PRENOM]],Tableau1[[#This Row],[NOM]])),'T5'!$C$5:$E$105,3,FALSE),90)</f>
        <v>62</v>
      </c>
      <c r="J17" s="69">
        <f>_xlfn.IFNA(VLOOKUP(TRIM(CONCATENATE(Tableau1[[#This Row],[PRENOM]],Tableau1[[#This Row],[NOM]])),'T6'!$C$5:$E$118,3,FALSE),90)</f>
        <v>90</v>
      </c>
      <c r="K17" s="69">
        <f>_xlfn.IFNA(VLOOKUP(TRIM(CONCATENATE(Tableau1[[#This Row],[PRENOM]],Tableau1[[#This Row],[NOM]])),'T7'!$C$5:$E$106,3,FALSE),90)</f>
        <v>90</v>
      </c>
      <c r="L17" s="74">
        <f t="shared" si="0"/>
        <v>494</v>
      </c>
      <c r="M17" s="71">
        <f t="shared" si="1"/>
        <v>90</v>
      </c>
      <c r="N17" s="72">
        <f t="shared" si="2"/>
        <v>90</v>
      </c>
      <c r="O17" s="33">
        <f t="shared" si="3"/>
        <v>314</v>
      </c>
      <c r="P17" s="33">
        <f>RANK(Tableau1[[#This Row],[SCORE
Final 
2025]],Tableau1[SCORE
Final 
2025],1)</f>
        <v>13</v>
      </c>
    </row>
    <row r="18" spans="2:16" ht="21.75" customHeight="1" x14ac:dyDescent="0.4">
      <c r="B18" s="7" t="s">
        <v>109</v>
      </c>
      <c r="C18" s="7" t="s">
        <v>52</v>
      </c>
      <c r="D18" s="30" t="s">
        <v>8</v>
      </c>
      <c r="E18" s="34">
        <f>_xlfn.IFNA(VLOOKUP(TRIM(CONCATENATE(Tableau1[[#This Row],[PRENOM]],Tableau1[[#This Row],[NOM]])),'T1'!$C$5:$E$106,3,FALSE),90)</f>
        <v>68</v>
      </c>
      <c r="F18" s="34">
        <f>_xlfn.IFNA(VLOOKUP(TRIM(CONCATENATE(Tableau1[[#This Row],[PRENOM]],Tableau1[[#This Row],[NOM]])),'T2'!$C$5:$E$111,3,FALSE),90)</f>
        <v>73</v>
      </c>
      <c r="G18" s="34">
        <f>_xlfn.IFNA(VLOOKUP(TRIM(CONCATENATE(Tableau1[[#This Row],[PRENOM]],Tableau1[[#This Row],[NOM]])),'T3'!$C$5:$E$107,3,FALSE),90)</f>
        <v>65</v>
      </c>
      <c r="H18" s="34">
        <f>_xlfn.IFNA(VLOOKUP(TRIM(CONCATENATE(Tableau1[[#This Row],[PRENOM]],Tableau1[[#This Row],[NOM]])),'T4'!$C$5:$E$108,3,FALSE),90)</f>
        <v>72</v>
      </c>
      <c r="I18" s="34">
        <f>_xlfn.IFNA(VLOOKUP(TRIM(CONCATENATE(Tableau1[[#This Row],[PRENOM]],Tableau1[[#This Row],[NOM]])),'T5'!$C$5:$E$105,3,FALSE),90)</f>
        <v>63</v>
      </c>
      <c r="J18" s="34">
        <f>_xlfn.IFNA(VLOOKUP(TRIM(CONCATENATE(Tableau1[[#This Row],[PRENOM]],Tableau1[[#This Row],[NOM]])),'T6'!$C$5:$E$118,3,FALSE),90)</f>
        <v>62</v>
      </c>
      <c r="K18" s="34">
        <f>_xlfn.IFNA(VLOOKUP(TRIM(CONCATENATE(Tableau1[[#This Row],[PRENOM]],Tableau1[[#This Row],[NOM]])),'T7'!$C$5:$E$106,3,FALSE),90)</f>
        <v>60</v>
      </c>
      <c r="L18" s="35">
        <f t="shared" si="0"/>
        <v>463</v>
      </c>
      <c r="M18" s="38">
        <f t="shared" si="1"/>
        <v>73</v>
      </c>
      <c r="N18" s="39">
        <f t="shared" si="2"/>
        <v>72</v>
      </c>
      <c r="O18" s="33">
        <f t="shared" si="3"/>
        <v>318</v>
      </c>
      <c r="P18" s="33">
        <f>RANK(Tableau1[[#This Row],[SCORE
Final 
2025]],Tableau1[SCORE
Final 
2025],1)</f>
        <v>14</v>
      </c>
    </row>
    <row r="19" spans="2:16" ht="20.100000000000001" customHeight="1" x14ac:dyDescent="0.4">
      <c r="B19" s="7" t="s">
        <v>117</v>
      </c>
      <c r="C19" s="7" t="s">
        <v>83</v>
      </c>
      <c r="D19" s="32" t="s">
        <v>74</v>
      </c>
      <c r="E19" s="34">
        <f>_xlfn.IFNA(VLOOKUP(TRIM(CONCATENATE(Tableau1[[#This Row],[PRENOM]],Tableau1[[#This Row],[NOM]])),'T1'!$C$5:$E$106,3,FALSE),90)</f>
        <v>63</v>
      </c>
      <c r="F19" s="34">
        <f>_xlfn.IFNA(VLOOKUP(TRIM(CONCATENATE(Tableau1[[#This Row],[PRENOM]],Tableau1[[#This Row],[NOM]])),'T2'!$C$5:$E$111,3,FALSE),90)</f>
        <v>90</v>
      </c>
      <c r="G19" s="34">
        <f>_xlfn.IFNA(VLOOKUP(TRIM(CONCATENATE(Tableau1[[#This Row],[PRENOM]],Tableau1[[#This Row],[NOM]])),'T3'!$C$5:$E$107,3,FALSE),90)</f>
        <v>54</v>
      </c>
      <c r="H19" s="34">
        <f>_xlfn.IFNA(VLOOKUP(TRIM(CONCATENATE(Tableau1[[#This Row],[PRENOM]],Tableau1[[#This Row],[NOM]])),'T4'!$C$5:$E$108,3,FALSE),90)</f>
        <v>90</v>
      </c>
      <c r="I19" s="34">
        <f>_xlfn.IFNA(VLOOKUP(TRIM(CONCATENATE(Tableau1[[#This Row],[PRENOM]],Tableau1[[#This Row],[NOM]])),'T5'!$C$5:$E$105,3,FALSE),90)</f>
        <v>90</v>
      </c>
      <c r="J19" s="34">
        <f>_xlfn.IFNA(VLOOKUP(TRIM(CONCATENATE(Tableau1[[#This Row],[PRENOM]],Tableau1[[#This Row],[NOM]])),'T6'!$C$5:$E$118,3,FALSE),90)</f>
        <v>59</v>
      </c>
      <c r="K19" s="34">
        <f>_xlfn.IFNA(VLOOKUP(TRIM(CONCATENATE(Tableau1[[#This Row],[PRENOM]],Tableau1[[#This Row],[NOM]])),'T7'!$C$5:$E$106,3,FALSE),90)</f>
        <v>57</v>
      </c>
      <c r="L19" s="35">
        <f t="shared" si="0"/>
        <v>503</v>
      </c>
      <c r="M19" s="38">
        <f t="shared" si="1"/>
        <v>90</v>
      </c>
      <c r="N19" s="39">
        <f t="shared" si="2"/>
        <v>90</v>
      </c>
      <c r="O19" s="33">
        <f t="shared" si="3"/>
        <v>323</v>
      </c>
      <c r="P19" s="33">
        <f>RANK(Tableau1[[#This Row],[SCORE
Final 
2025]],Tableau1[SCORE
Final 
2025],1)</f>
        <v>15</v>
      </c>
    </row>
    <row r="20" spans="2:16" ht="20.100000000000001" customHeight="1" x14ac:dyDescent="0.4">
      <c r="B20" s="15" t="s">
        <v>133</v>
      </c>
      <c r="C20" s="15" t="s">
        <v>39</v>
      </c>
      <c r="D20" s="30" t="s">
        <v>8</v>
      </c>
      <c r="E20" s="69">
        <f>_xlfn.IFNA(VLOOKUP(TRIM(CONCATENATE(Tableau1[[#This Row],[PRENOM]],Tableau1[[#This Row],[NOM]])),'T1'!$C$5:$E$106,3,FALSE),90)</f>
        <v>68</v>
      </c>
      <c r="F20" s="69">
        <f>_xlfn.IFNA(VLOOKUP(TRIM(CONCATENATE(Tableau1[[#This Row],[PRENOM]],Tableau1[[#This Row],[NOM]])),'T2'!$C$5:$E$111,3,FALSE),90)</f>
        <v>70</v>
      </c>
      <c r="G20" s="69">
        <f>_xlfn.IFNA(VLOOKUP(TRIM(CONCATENATE(Tableau1[[#This Row],[PRENOM]],Tableau1[[#This Row],[NOM]])),'T3'!$C$5:$E$107,3,FALSE),90)</f>
        <v>61</v>
      </c>
      <c r="H20" s="69">
        <f>_xlfn.IFNA(VLOOKUP(TRIM(CONCATENATE(Tableau1[[#This Row],[PRENOM]],Tableau1[[#This Row],[NOM]])),'T4'!$C$5:$E$108,3,FALSE),90)</f>
        <v>75</v>
      </c>
      <c r="I20" s="69">
        <f>_xlfn.IFNA(VLOOKUP(TRIM(CONCATENATE(Tableau1[[#This Row],[PRENOM]],Tableau1[[#This Row],[NOM]])),'T5'!$C$5:$E$105,3,FALSE),90)</f>
        <v>90</v>
      </c>
      <c r="J20" s="69">
        <f>_xlfn.IFNA(VLOOKUP(TRIM(CONCATENATE(Tableau1[[#This Row],[PRENOM]],Tableau1[[#This Row],[NOM]])),'T6'!$C$5:$E$118,3,FALSE),90)</f>
        <v>68</v>
      </c>
      <c r="K20" s="69">
        <f>_xlfn.IFNA(VLOOKUP(TRIM(CONCATENATE(Tableau1[[#This Row],[PRENOM]],Tableau1[[#This Row],[NOM]])),'T7'!$C$5:$E$106,3,FALSE),90)</f>
        <v>62</v>
      </c>
      <c r="L20" s="74">
        <f t="shared" si="0"/>
        <v>494</v>
      </c>
      <c r="M20" s="71">
        <f t="shared" si="1"/>
        <v>90</v>
      </c>
      <c r="N20" s="72">
        <f t="shared" si="2"/>
        <v>75</v>
      </c>
      <c r="O20" s="33">
        <f t="shared" si="3"/>
        <v>329</v>
      </c>
      <c r="P20" s="33">
        <f>RANK(Tableau1[[#This Row],[SCORE
Final 
2025]],Tableau1[SCORE
Final 
2025],1)</f>
        <v>16</v>
      </c>
    </row>
    <row r="21" spans="2:16" ht="20.100000000000001" customHeight="1" x14ac:dyDescent="0.4">
      <c r="B21" s="7" t="s">
        <v>70</v>
      </c>
      <c r="C21" s="7" t="s">
        <v>71</v>
      </c>
      <c r="D21" s="29" t="s">
        <v>19</v>
      </c>
      <c r="E21" s="34">
        <f>_xlfn.IFNA(VLOOKUP(TRIM(CONCATENATE(Tableau1[[#This Row],[PRENOM]],Tableau1[[#This Row],[NOM]])),'T1'!$C$5:$E$106,3,FALSE),90)</f>
        <v>63</v>
      </c>
      <c r="F21" s="34">
        <f>_xlfn.IFNA(VLOOKUP(TRIM(CONCATENATE(Tableau1[[#This Row],[PRENOM]],Tableau1[[#This Row],[NOM]])),'T2'!$C$5:$E$111,3,FALSE),90)</f>
        <v>90</v>
      </c>
      <c r="G21" s="34">
        <f>_xlfn.IFNA(VLOOKUP(TRIM(CONCATENATE(Tableau1[[#This Row],[PRENOM]],Tableau1[[#This Row],[NOM]])),'T3'!$C$5:$E$107,3,FALSE),90)</f>
        <v>65</v>
      </c>
      <c r="H21" s="34">
        <f>_xlfn.IFNA(VLOOKUP(TRIM(CONCATENATE(Tableau1[[#This Row],[PRENOM]],Tableau1[[#This Row],[NOM]])),'T4'!$C$5:$E$108,3,FALSE),90)</f>
        <v>71</v>
      </c>
      <c r="I21" s="34">
        <f>_xlfn.IFNA(VLOOKUP(TRIM(CONCATENATE(Tableau1[[#This Row],[PRENOM]],Tableau1[[#This Row],[NOM]])),'T5'!$C$5:$E$105,3,FALSE),90)</f>
        <v>70</v>
      </c>
      <c r="J21" s="34">
        <f>_xlfn.IFNA(VLOOKUP(TRIM(CONCATENATE(Tableau1[[#This Row],[PRENOM]],Tableau1[[#This Row],[NOM]])),'T6'!$C$5:$E$118,3,FALSE),90)</f>
        <v>90</v>
      </c>
      <c r="K21" s="34">
        <f>_xlfn.IFNA(VLOOKUP(TRIM(CONCATENATE(Tableau1[[#This Row],[PRENOM]],Tableau1[[#This Row],[NOM]])),'T7'!$C$5:$E$106,3,FALSE),90)</f>
        <v>61</v>
      </c>
      <c r="L21" s="35">
        <f t="shared" si="0"/>
        <v>510</v>
      </c>
      <c r="M21" s="38">
        <f t="shared" si="1"/>
        <v>90</v>
      </c>
      <c r="N21" s="39">
        <f t="shared" si="2"/>
        <v>90</v>
      </c>
      <c r="O21" s="33">
        <f t="shared" si="3"/>
        <v>330</v>
      </c>
      <c r="P21" s="33">
        <f>RANK(Tableau1[[#This Row],[SCORE
Final 
2025]],Tableau1[SCORE
Final 
2025],1)</f>
        <v>17</v>
      </c>
    </row>
    <row r="22" spans="2:16" ht="20.100000000000001" customHeight="1" x14ac:dyDescent="0.4">
      <c r="B22" s="222" t="s">
        <v>75</v>
      </c>
      <c r="C22" s="248" t="s">
        <v>257</v>
      </c>
      <c r="D22" s="29" t="s">
        <v>19</v>
      </c>
      <c r="E22" s="69">
        <f>_xlfn.IFNA(VLOOKUP(TRIM(CONCATENATE(Tableau1[[#This Row],[PRENOM]],Tableau1[[#This Row],[NOM]])),'T1'!$C$5:$E$106,3,FALSE),90)</f>
        <v>69</v>
      </c>
      <c r="F22" s="69">
        <f>_xlfn.IFNA(VLOOKUP(TRIM(CONCATENATE(Tableau1[[#This Row],[PRENOM]],Tableau1[[#This Row],[NOM]])),'T2'!$C$5:$E$111,3,FALSE),90)</f>
        <v>77</v>
      </c>
      <c r="G22" s="69">
        <f>_xlfn.IFNA(VLOOKUP(TRIM(CONCATENATE(Tableau1[[#This Row],[PRENOM]],Tableau1[[#This Row],[NOM]])),'T3'!$C$5:$E$107,3,FALSE),90)</f>
        <v>62</v>
      </c>
      <c r="H22" s="69">
        <f>_xlfn.IFNA(VLOOKUP(TRIM(CONCATENATE(Tableau1[[#This Row],[PRENOM]],Tableau1[[#This Row],[NOM]])),'T4'!$C$5:$E$108,3,FALSE),90)</f>
        <v>70</v>
      </c>
      <c r="I22" s="69">
        <f>_xlfn.IFNA(VLOOKUP(TRIM(CONCATENATE(Tableau1[[#This Row],[PRENOM]],Tableau1[[#This Row],[NOM]])),'T5'!$C$5:$E$105,3,FALSE),90)</f>
        <v>68</v>
      </c>
      <c r="J22" s="69">
        <f>_xlfn.IFNA(VLOOKUP(TRIM(CONCATENATE(Tableau1[[#This Row],[PRENOM]],Tableau1[[#This Row],[NOM]])),'T6'!$C$5:$E$118,3,FALSE),90)</f>
        <v>69</v>
      </c>
      <c r="K22" s="69">
        <f>_xlfn.IFNA(VLOOKUP(TRIM(CONCATENATE(Tableau1[[#This Row],[PRENOM]],Tableau1[[#This Row],[NOM]])),'T7'!$C$5:$E$106,3,FALSE),90)</f>
        <v>90</v>
      </c>
      <c r="L22" s="74">
        <f t="shared" si="0"/>
        <v>505</v>
      </c>
      <c r="M22" s="71">
        <f t="shared" si="1"/>
        <v>90</v>
      </c>
      <c r="N22" s="72">
        <f t="shared" si="2"/>
        <v>77</v>
      </c>
      <c r="O22" s="33">
        <f t="shared" si="3"/>
        <v>338</v>
      </c>
      <c r="P22" s="33">
        <f>RANK(Tableau1[[#This Row],[SCORE
Final 
2025]],Tableau1[SCORE
Final 
2025],1)</f>
        <v>18</v>
      </c>
    </row>
    <row r="23" spans="2:16" ht="20.100000000000001" customHeight="1" x14ac:dyDescent="0.4">
      <c r="B23" s="15" t="s">
        <v>146</v>
      </c>
      <c r="C23" s="15" t="s">
        <v>106</v>
      </c>
      <c r="D23" s="31" t="s">
        <v>13</v>
      </c>
      <c r="E23" s="69">
        <f>_xlfn.IFNA(VLOOKUP(TRIM(CONCATENATE(Tableau1[[#This Row],[PRENOM]],Tableau1[[#This Row],[NOM]])),'T1'!$C$5:$E$106,3,FALSE),90)</f>
        <v>90</v>
      </c>
      <c r="F23" s="69">
        <f>_xlfn.IFNA(VLOOKUP(TRIM(CONCATENATE(Tableau1[[#This Row],[PRENOM]],Tableau1[[#This Row],[NOM]])),'T2'!$C$5:$E$111,3,FALSE),90)</f>
        <v>68</v>
      </c>
      <c r="G23" s="69">
        <f>_xlfn.IFNA(VLOOKUP(TRIM(CONCATENATE(Tableau1[[#This Row],[PRENOM]],Tableau1[[#This Row],[NOM]])),'T3'!$C$5:$E$107,3,FALSE),90)</f>
        <v>59</v>
      </c>
      <c r="H23" s="69">
        <f>_xlfn.IFNA(VLOOKUP(TRIM(CONCATENATE(Tableau1[[#This Row],[PRENOM]],Tableau1[[#This Row],[NOM]])),'T4'!$C$5:$E$108,3,FALSE),90)</f>
        <v>67</v>
      </c>
      <c r="I23" s="69">
        <f>_xlfn.IFNA(VLOOKUP(TRIM(CONCATENATE(Tableau1[[#This Row],[PRENOM]],Tableau1[[#This Row],[NOM]])),'T5'!$C$5:$E$105,3,FALSE),90)</f>
        <v>90</v>
      </c>
      <c r="J23" s="69">
        <f>_xlfn.IFNA(VLOOKUP(TRIM(CONCATENATE(Tableau1[[#This Row],[PRENOM]],Tableau1[[#This Row],[NOM]])),'T6'!$C$5:$E$118,3,FALSE),90)</f>
        <v>57</v>
      </c>
      <c r="K23" s="69">
        <f>_xlfn.IFNA(VLOOKUP(TRIM(CONCATENATE(Tableau1[[#This Row],[PRENOM]],Tableau1[[#This Row],[NOM]])),'T7'!$C$5:$E$106,3,FALSE),90)</f>
        <v>90</v>
      </c>
      <c r="L23" s="74">
        <f t="shared" si="0"/>
        <v>521</v>
      </c>
      <c r="M23" s="71">
        <f t="shared" si="1"/>
        <v>90</v>
      </c>
      <c r="N23" s="72">
        <f t="shared" si="2"/>
        <v>90</v>
      </c>
      <c r="O23" s="33">
        <f t="shared" si="3"/>
        <v>341</v>
      </c>
      <c r="P23" s="33">
        <f>RANK(Tableau1[[#This Row],[SCORE
Final 
2025]],Tableau1[SCORE
Final 
2025],1)</f>
        <v>19</v>
      </c>
    </row>
    <row r="24" spans="2:16" ht="20.100000000000001" customHeight="1" x14ac:dyDescent="0.4">
      <c r="B24" s="7" t="s">
        <v>159</v>
      </c>
      <c r="C24" s="7" t="s">
        <v>160</v>
      </c>
      <c r="D24" s="29" t="s">
        <v>19</v>
      </c>
      <c r="E24" s="34">
        <f>_xlfn.IFNA(VLOOKUP(TRIM(CONCATENATE(Tableau1[[#This Row],[PRENOM]],Tableau1[[#This Row],[NOM]])),'T1'!$C$5:$E$106,3,FALSE),90)</f>
        <v>74</v>
      </c>
      <c r="F24" s="34">
        <f>_xlfn.IFNA(VLOOKUP(TRIM(CONCATENATE(Tableau1[[#This Row],[PRENOM]],Tableau1[[#This Row],[NOM]])),'T2'!$C$5:$E$111,3,FALSE),90)</f>
        <v>67</v>
      </c>
      <c r="G24" s="34">
        <f>_xlfn.IFNA(VLOOKUP(TRIM(CONCATENATE(Tableau1[[#This Row],[PRENOM]],Tableau1[[#This Row],[NOM]])),'T3'!$C$5:$E$107,3,FALSE),90)</f>
        <v>90</v>
      </c>
      <c r="H24" s="34">
        <f>_xlfn.IFNA(VLOOKUP(TRIM(CONCATENATE(Tableau1[[#This Row],[PRENOM]],Tableau1[[#This Row],[NOM]])),'T4'!$C$5:$E$108,3,FALSE),90)</f>
        <v>90</v>
      </c>
      <c r="I24" s="34">
        <f>_xlfn.IFNA(VLOOKUP(TRIM(CONCATENATE(Tableau1[[#This Row],[PRENOM]],Tableau1[[#This Row],[NOM]])),'T5'!$C$5:$E$105,3,FALSE),90)</f>
        <v>90</v>
      </c>
      <c r="J24" s="34">
        <f>_xlfn.IFNA(VLOOKUP(TRIM(CONCATENATE(Tableau1[[#This Row],[PRENOM]],Tableau1[[#This Row],[NOM]])),'T6'!$C$5:$E$118,3,FALSE),90)</f>
        <v>59</v>
      </c>
      <c r="K24" s="34">
        <f>_xlfn.IFNA(VLOOKUP(TRIM(CONCATENATE(Tableau1[[#This Row],[PRENOM]],Tableau1[[#This Row],[NOM]])),'T7'!$C$5:$E$106,3,FALSE),90)</f>
        <v>59</v>
      </c>
      <c r="L24" s="35">
        <f t="shared" si="0"/>
        <v>529</v>
      </c>
      <c r="M24" s="38">
        <f t="shared" si="1"/>
        <v>90</v>
      </c>
      <c r="N24" s="39">
        <f t="shared" si="2"/>
        <v>90</v>
      </c>
      <c r="O24" s="33">
        <f t="shared" si="3"/>
        <v>349</v>
      </c>
      <c r="P24" s="33">
        <f>RANK(Tableau1[[#This Row],[SCORE
Final 
2025]],Tableau1[SCORE
Final 
2025],1)</f>
        <v>20</v>
      </c>
    </row>
    <row r="25" spans="2:16" ht="20.100000000000001" customHeight="1" x14ac:dyDescent="0.4">
      <c r="B25" s="7" t="s">
        <v>77</v>
      </c>
      <c r="C25" s="252" t="s">
        <v>275</v>
      </c>
      <c r="D25" s="29" t="s">
        <v>19</v>
      </c>
      <c r="E25" s="34">
        <f>_xlfn.IFNA(VLOOKUP(TRIM(CONCATENATE(Tableau1[[#This Row],[PRENOM]],Tableau1[[#This Row],[NOM]])),'T1'!$C$5:$E$106,3,FALSE),90)</f>
        <v>90</v>
      </c>
      <c r="F25" s="34">
        <f>_xlfn.IFNA(VLOOKUP(TRIM(CONCATENATE(Tableau1[[#This Row],[PRENOM]],Tableau1[[#This Row],[NOM]])),'T2'!$C$5:$E$111,3,FALSE),90)</f>
        <v>90</v>
      </c>
      <c r="G25" s="34">
        <f>_xlfn.IFNA(VLOOKUP(TRIM(CONCATENATE(Tableau1[[#This Row],[PRENOM]],Tableau1[[#This Row],[NOM]])),'T3'!$C$5:$E$107,3,FALSE),90)</f>
        <v>90</v>
      </c>
      <c r="H25" s="34">
        <v>73</v>
      </c>
      <c r="I25" s="34">
        <f>_xlfn.IFNA(VLOOKUP(TRIM(CONCATENATE(Tableau1[[#This Row],[PRENOM]],Tableau1[[#This Row],[NOM]])),'T5'!$C$5:$E$105,3,FALSE),90)</f>
        <v>64</v>
      </c>
      <c r="J25" s="34">
        <v>60</v>
      </c>
      <c r="K25" s="34">
        <f>_xlfn.IFNA(VLOOKUP(TRIM(CONCATENATE(Tableau1[[#This Row],[PRENOM]],Tableau1[[#This Row],[NOM]])),'T7'!$C$5:$E$106,3,FALSE),90)</f>
        <v>64</v>
      </c>
      <c r="L25" s="35">
        <f t="shared" si="0"/>
        <v>531</v>
      </c>
      <c r="M25" s="38">
        <f t="shared" si="1"/>
        <v>90</v>
      </c>
      <c r="N25" s="39">
        <f t="shared" si="2"/>
        <v>90</v>
      </c>
      <c r="O25" s="33">
        <f t="shared" si="3"/>
        <v>351</v>
      </c>
      <c r="P25" s="33">
        <f>RANK(Tableau1[[#This Row],[SCORE
Final 
2025]],Tableau1[SCORE
Final 
2025],1)</f>
        <v>21</v>
      </c>
    </row>
    <row r="26" spans="2:16" ht="20.100000000000001" customHeight="1" x14ac:dyDescent="0.4">
      <c r="B26" s="15" t="s">
        <v>169</v>
      </c>
      <c r="C26" s="184" t="s">
        <v>39</v>
      </c>
      <c r="D26" s="26" t="s">
        <v>130</v>
      </c>
      <c r="E26" s="69">
        <f>_xlfn.IFNA(VLOOKUP(TRIM(CONCATENATE(Tableau1[[#This Row],[PRENOM]],Tableau1[[#This Row],[NOM]])),'T1'!$C$5:$E$106,3,FALSE),90)</f>
        <v>75</v>
      </c>
      <c r="F26" s="34">
        <f>_xlfn.IFNA(VLOOKUP(TRIM(CONCATENATE(Tableau1[[#This Row],[PRENOM]],Tableau1[[#This Row],[NOM]])),'T2'!$C$5:$E$111,3,FALSE),90)</f>
        <v>71</v>
      </c>
      <c r="G26" s="69">
        <f>_xlfn.IFNA(VLOOKUP(TRIM(CONCATENATE(Tableau1[[#This Row],[PRENOM]],Tableau1[[#This Row],[NOM]])),'T3'!$C$5:$E$107,3,FALSE),90)</f>
        <v>64</v>
      </c>
      <c r="H26" s="69">
        <f>_xlfn.IFNA(VLOOKUP(TRIM(CONCATENATE(Tableau1[[#This Row],[PRENOM]],Tableau1[[#This Row],[NOM]])),'T4'!$C$5:$E$108,3,FALSE),90)</f>
        <v>72</v>
      </c>
      <c r="I26" s="69">
        <f>_xlfn.IFNA(VLOOKUP(TRIM(CONCATENATE(Tableau1[[#This Row],[PRENOM]],Tableau1[[#This Row],[NOM]])),'T5'!$C$5:$E$105,3,FALSE),90)</f>
        <v>73</v>
      </c>
      <c r="J26" s="69">
        <f>_xlfn.IFNA(VLOOKUP(TRIM(CONCATENATE(Tableau1[[#This Row],[PRENOM]],Tableau1[[#This Row],[NOM]])),'T6'!$C$5:$E$118,3,FALSE),90)</f>
        <v>72</v>
      </c>
      <c r="K26" s="69">
        <f>_xlfn.IFNA(VLOOKUP(TRIM(CONCATENATE(Tableau1[[#This Row],[PRENOM]],Tableau1[[#This Row],[NOM]])),'T7'!$C$5:$E$106,3,FALSE),90)</f>
        <v>90</v>
      </c>
      <c r="L26" s="221">
        <f t="shared" si="0"/>
        <v>517</v>
      </c>
      <c r="M26" s="156">
        <f t="shared" si="1"/>
        <v>90</v>
      </c>
      <c r="N26" s="157">
        <f t="shared" si="2"/>
        <v>75</v>
      </c>
      <c r="O26" s="70">
        <f t="shared" si="3"/>
        <v>352</v>
      </c>
      <c r="P26" s="70">
        <f>RANK(Tableau1[[#This Row],[SCORE
Final 
2025]],Tableau1[SCORE
Final 
2025],1)</f>
        <v>22</v>
      </c>
    </row>
    <row r="27" spans="2:16" ht="20.100000000000001" customHeight="1" x14ac:dyDescent="0.4">
      <c r="B27" s="15" t="s">
        <v>32</v>
      </c>
      <c r="C27" s="15" t="s">
        <v>25</v>
      </c>
      <c r="D27" s="29" t="s">
        <v>19</v>
      </c>
      <c r="E27" s="69">
        <f>_xlfn.IFNA(VLOOKUP(TRIM(CONCATENATE(Tableau1[[#This Row],[PRENOM]],Tableau1[[#This Row],[NOM]])),'T1'!$C$5:$E$106,3,FALSE),90)</f>
        <v>90</v>
      </c>
      <c r="F27" s="69">
        <f>_xlfn.IFNA(VLOOKUP(TRIM(CONCATENATE(Tableau1[[#This Row],[PRENOM]],Tableau1[[#This Row],[NOM]])),'T2'!$C$5:$E$111,3,FALSE),90)</f>
        <v>72</v>
      </c>
      <c r="G27" s="69">
        <f>_xlfn.IFNA(VLOOKUP(TRIM(CONCATENATE(Tableau1[[#This Row],[PRENOM]],Tableau1[[#This Row],[NOM]])),'T3'!$C$5:$E$107,3,FALSE),90)</f>
        <v>70</v>
      </c>
      <c r="H27" s="69">
        <f>_xlfn.IFNA(VLOOKUP(TRIM(CONCATENATE(Tableau1[[#This Row],[PRENOM]],Tableau1[[#This Row],[NOM]])),'T4'!$C$5:$E$108,3,FALSE),90)</f>
        <v>74</v>
      </c>
      <c r="I27" s="69">
        <f>_xlfn.IFNA(VLOOKUP(TRIM(CONCATENATE(Tableau1[[#This Row],[PRENOM]],Tableau1[[#This Row],[NOM]])),'T5'!$C$5:$E$105,3,FALSE),90)</f>
        <v>68</v>
      </c>
      <c r="J27" s="69">
        <f>_xlfn.IFNA(VLOOKUP(TRIM(CONCATENATE(Tableau1[[#This Row],[PRENOM]],Tableau1[[#This Row],[NOM]])),'T6'!$C$5:$E$118,3,FALSE),90)</f>
        <v>72</v>
      </c>
      <c r="K27" s="69">
        <f>_xlfn.IFNA(VLOOKUP(TRIM(CONCATENATE(Tableau1[[#This Row],[PRENOM]],Tableau1[[#This Row],[NOM]])),'T7'!$C$5:$E$106,3,FALSE),90)</f>
        <v>71</v>
      </c>
      <c r="L27" s="74">
        <f t="shared" si="0"/>
        <v>517</v>
      </c>
      <c r="M27" s="71">
        <f t="shared" si="1"/>
        <v>90</v>
      </c>
      <c r="N27" s="72">
        <f t="shared" si="2"/>
        <v>74</v>
      </c>
      <c r="O27" s="33">
        <f t="shared" si="3"/>
        <v>353</v>
      </c>
      <c r="P27" s="33">
        <f>RANK(Tableau1[[#This Row],[SCORE
Final 
2025]],Tableau1[SCORE
Final 
2025],1)</f>
        <v>23</v>
      </c>
    </row>
    <row r="28" spans="2:16" ht="20.100000000000001" customHeight="1" x14ac:dyDescent="0.4">
      <c r="B28" s="7" t="s">
        <v>29</v>
      </c>
      <c r="C28" s="7" t="s">
        <v>14</v>
      </c>
      <c r="D28" s="32" t="s">
        <v>74</v>
      </c>
      <c r="E28" s="34">
        <f>_xlfn.IFNA(VLOOKUP(TRIM(CONCATENATE(Tableau1[[#This Row],[PRENOM]],Tableau1[[#This Row],[NOM]])),'T1'!$C$5:$E$106,3,FALSE),90)</f>
        <v>69</v>
      </c>
      <c r="F28" s="34">
        <f>_xlfn.IFNA(VLOOKUP(TRIM(CONCATENATE(Tableau1[[#This Row],[PRENOM]],Tableau1[[#This Row],[NOM]])),'T2'!$C$5:$E$111,3,FALSE),90)</f>
        <v>72</v>
      </c>
      <c r="G28" s="34">
        <f>_xlfn.IFNA(VLOOKUP(TRIM(CONCATENATE(Tableau1[[#This Row],[PRENOM]],Tableau1[[#This Row],[NOM]])),'T3'!$C$5:$E$107,3,FALSE),90)</f>
        <v>90</v>
      </c>
      <c r="H28" s="34">
        <f>_xlfn.IFNA(VLOOKUP(TRIM(CONCATENATE(Tableau1[[#This Row],[PRENOM]],Tableau1[[#This Row],[NOM]])),'T4'!$C$5:$E$108,3,FALSE),90)</f>
        <v>65</v>
      </c>
      <c r="I28" s="34">
        <f>_xlfn.IFNA(VLOOKUP(TRIM(CONCATENATE(Tableau1[[#This Row],[PRENOM]],Tableau1[[#This Row],[NOM]])),'T5'!$C$5:$E$105,3,FALSE),90)</f>
        <v>73</v>
      </c>
      <c r="J28" s="34">
        <f>_xlfn.IFNA(VLOOKUP(TRIM(CONCATENATE(Tableau1[[#This Row],[PRENOM]],Tableau1[[#This Row],[NOM]])),'T6'!$C$5:$E$118,3,FALSE),90)</f>
        <v>76</v>
      </c>
      <c r="K28" s="34">
        <f>_xlfn.IFNA(VLOOKUP(TRIM(CONCATENATE(Tableau1[[#This Row],[PRENOM]],Tableau1[[#This Row],[NOM]])),'T7'!$C$5:$E$106,3,FALSE),90)</f>
        <v>78</v>
      </c>
      <c r="L28" s="35">
        <f t="shared" si="0"/>
        <v>523</v>
      </c>
      <c r="M28" s="38">
        <f t="shared" si="1"/>
        <v>90</v>
      </c>
      <c r="N28" s="39">
        <f t="shared" si="2"/>
        <v>78</v>
      </c>
      <c r="O28" s="33">
        <f t="shared" si="3"/>
        <v>355</v>
      </c>
      <c r="P28" s="33">
        <f>RANK(Tableau1[[#This Row],[SCORE
Final 
2025]],Tableau1[SCORE
Final 
2025],1)</f>
        <v>24</v>
      </c>
    </row>
    <row r="29" spans="2:16" ht="20.100000000000001" customHeight="1" x14ac:dyDescent="0.4">
      <c r="B29" s="253" t="s">
        <v>41</v>
      </c>
      <c r="C29" s="253" t="s">
        <v>252</v>
      </c>
      <c r="D29" s="32" t="s">
        <v>74</v>
      </c>
      <c r="E29" s="34">
        <f>_xlfn.IFNA(VLOOKUP(TRIM(CONCATENATE(Tableau1[[#This Row],[PRENOM]],Tableau1[[#This Row],[NOM]])),'T1'!$C$5:$E$106,3,FALSE),90)</f>
        <v>90</v>
      </c>
      <c r="F29" s="34">
        <f>_xlfn.IFNA(VLOOKUP(TRIM(CONCATENATE(Tableau1[[#This Row],[PRENOM]],Tableau1[[#This Row],[NOM]])),'T2'!$C$5:$E$111,3,FALSE),90)</f>
        <v>90</v>
      </c>
      <c r="G29" s="34">
        <f>_xlfn.IFNA(VLOOKUP(TRIM(CONCATENATE(Tableau1[[#This Row],[PRENOM]],Tableau1[[#This Row],[NOM]])),'T3'!$C$5:$E$107,3,FALSE),90)</f>
        <v>55</v>
      </c>
      <c r="H29" s="34">
        <f>_xlfn.IFNA(VLOOKUP(TRIM(CONCATENATE(Tableau1[[#This Row],[PRENOM]],Tableau1[[#This Row],[NOM]])),'T4'!$C$5:$E$108,3,FALSE),90)</f>
        <v>90</v>
      </c>
      <c r="I29" s="34">
        <f>_xlfn.IFNA(VLOOKUP(TRIM(CONCATENATE(Tableau1[[#This Row],[PRENOM]],Tableau1[[#This Row],[NOM]])),'T5'!$C$5:$E$105,3,FALSE),90)</f>
        <v>90</v>
      </c>
      <c r="J29" s="34">
        <f>_xlfn.IFNA(VLOOKUP(TRIM(CONCATENATE(Tableau1[[#This Row],[PRENOM]],Tableau1[[#This Row],[NOM]])),'T6'!$C$5:$E$118,3,FALSE),90)</f>
        <v>57</v>
      </c>
      <c r="K29" s="34">
        <f>_xlfn.IFNA(VLOOKUP(TRIM(CONCATENATE(Tableau1[[#This Row],[PRENOM]],Tableau1[[#This Row],[NOM]])),'T7'!$C$5:$E$106,3,FALSE),90)</f>
        <v>63</v>
      </c>
      <c r="L29" s="35">
        <f t="shared" si="0"/>
        <v>535</v>
      </c>
      <c r="M29" s="38">
        <f t="shared" si="1"/>
        <v>90</v>
      </c>
      <c r="N29" s="39">
        <f t="shared" si="2"/>
        <v>90</v>
      </c>
      <c r="O29" s="33">
        <f t="shared" si="3"/>
        <v>355</v>
      </c>
      <c r="P29" s="33">
        <f>RANK(Tableau1[[#This Row],[SCORE
Final 
2025]],Tableau1[SCORE
Final 
2025],1)</f>
        <v>24</v>
      </c>
    </row>
    <row r="30" spans="2:16" ht="20.100000000000001" customHeight="1" x14ac:dyDescent="0.4">
      <c r="B30" s="7" t="s">
        <v>6</v>
      </c>
      <c r="C30" s="7" t="s">
        <v>7</v>
      </c>
      <c r="D30" s="30" t="s">
        <v>8</v>
      </c>
      <c r="E30" s="34">
        <f>_xlfn.IFNA(VLOOKUP(TRIM(CONCATENATE(Tableau1[[#This Row],[PRENOM]],Tableau1[[#This Row],[NOM]])),'T1'!$C$5:$E$106,3,FALSE),90)</f>
        <v>66</v>
      </c>
      <c r="F30" s="34">
        <f>_xlfn.IFNA(VLOOKUP(TRIM(CONCATENATE(Tableau1[[#This Row],[PRENOM]],Tableau1[[#This Row],[NOM]])),'T2'!$C$5:$E$111,3,FALSE),90)</f>
        <v>68</v>
      </c>
      <c r="G30" s="34">
        <f>_xlfn.IFNA(VLOOKUP(TRIM(CONCATENATE(Tableau1[[#This Row],[PRENOM]],Tableau1[[#This Row],[NOM]])),'T3'!$C$5:$E$107,3,FALSE),90)</f>
        <v>61</v>
      </c>
      <c r="H30" s="34">
        <f>_xlfn.IFNA(VLOOKUP(TRIM(CONCATENATE(Tableau1[[#This Row],[PRENOM]],Tableau1[[#This Row],[NOM]])),'T4'!$C$5:$E$108,3,FALSE),90)</f>
        <v>72</v>
      </c>
      <c r="I30" s="34">
        <f>_xlfn.IFNA(VLOOKUP(TRIM(CONCATENATE(Tableau1[[#This Row],[PRENOM]],Tableau1[[#This Row],[NOM]])),'T5'!$C$5:$E$105,3,FALSE),90)</f>
        <v>90</v>
      </c>
      <c r="J30" s="34">
        <f>_xlfn.IFNA(VLOOKUP(TRIM(CONCATENATE(Tableau1[[#This Row],[PRENOM]],Tableau1[[#This Row],[NOM]])),'T6'!$C$5:$E$118,3,FALSE),90)</f>
        <v>90</v>
      </c>
      <c r="K30" s="34">
        <f>_xlfn.IFNA(VLOOKUP(TRIM(CONCATENATE(Tableau1[[#This Row],[PRENOM]],Tableau1[[#This Row],[NOM]])),'T7'!$C$5:$E$106,3,FALSE),90)</f>
        <v>90</v>
      </c>
      <c r="L30" s="35">
        <f t="shared" si="0"/>
        <v>537</v>
      </c>
      <c r="M30" s="38">
        <f t="shared" si="1"/>
        <v>90</v>
      </c>
      <c r="N30" s="39">
        <f t="shared" si="2"/>
        <v>90</v>
      </c>
      <c r="O30" s="33">
        <f t="shared" si="3"/>
        <v>357</v>
      </c>
      <c r="P30" s="33">
        <f>RANK(Tableau1[[#This Row],[SCORE
Final 
2025]],Tableau1[SCORE
Final 
2025],1)</f>
        <v>26</v>
      </c>
    </row>
    <row r="31" spans="2:16" ht="20.100000000000001" customHeight="1" x14ac:dyDescent="0.4">
      <c r="B31" s="7" t="s">
        <v>138</v>
      </c>
      <c r="C31" s="7" t="s">
        <v>44</v>
      </c>
      <c r="D31" s="31" t="s">
        <v>13</v>
      </c>
      <c r="E31" s="34">
        <f>_xlfn.IFNA(VLOOKUP(TRIM(CONCATENATE(Tableau1[[#This Row],[PRENOM]],Tableau1[[#This Row],[NOM]])),'T1'!$C$5:$E$106,3,FALSE),90)</f>
        <v>62</v>
      </c>
      <c r="F31" s="34">
        <f>_xlfn.IFNA(VLOOKUP(TRIM(CONCATENATE(Tableau1[[#This Row],[PRENOM]],Tableau1[[#This Row],[NOM]])),'T2'!$C$5:$E$111,3,FALSE),90)</f>
        <v>90</v>
      </c>
      <c r="G31" s="34">
        <f>_xlfn.IFNA(VLOOKUP(TRIM(CONCATENATE(Tableau1[[#This Row],[PRENOM]],Tableau1[[#This Row],[NOM]])),'T3'!$C$5:$E$107,3,FALSE),90)</f>
        <v>90</v>
      </c>
      <c r="H31" s="34">
        <f>_xlfn.IFNA(VLOOKUP(TRIM(CONCATENATE(Tableau1[[#This Row],[PRENOM]],Tableau1[[#This Row],[NOM]])),'T4'!$C$5:$E$108,3,FALSE),90)</f>
        <v>73</v>
      </c>
      <c r="I31" s="34">
        <f>_xlfn.IFNA(VLOOKUP(TRIM(CONCATENATE(Tableau1[[#This Row],[PRENOM]],Tableau1[[#This Row],[NOM]])),'T5'!$C$5:$E$105,3,FALSE),90)</f>
        <v>73</v>
      </c>
      <c r="J31" s="34">
        <f>_xlfn.IFNA(VLOOKUP(TRIM(CONCATENATE(Tableau1[[#This Row],[PRENOM]],Tableau1[[#This Row],[NOM]])),'T6'!$C$5:$E$118,3,FALSE),90)</f>
        <v>90</v>
      </c>
      <c r="K31" s="34">
        <f>_xlfn.IFNA(VLOOKUP(TRIM(CONCATENATE(Tableau1[[#This Row],[PRENOM]],Tableau1[[#This Row],[NOM]])),'T7'!$C$5:$E$106,3,FALSE),90)</f>
        <v>62</v>
      </c>
      <c r="L31" s="35">
        <f t="shared" si="0"/>
        <v>540</v>
      </c>
      <c r="M31" s="38">
        <f t="shared" si="1"/>
        <v>90</v>
      </c>
      <c r="N31" s="39">
        <f t="shared" si="2"/>
        <v>90</v>
      </c>
      <c r="O31" s="33">
        <f t="shared" si="3"/>
        <v>360</v>
      </c>
      <c r="P31" s="33">
        <f>RANK(Tableau1[[#This Row],[SCORE
Final 
2025]],Tableau1[SCORE
Final 
2025],1)</f>
        <v>27</v>
      </c>
    </row>
    <row r="32" spans="2:16" ht="20.100000000000001" customHeight="1" x14ac:dyDescent="0.4">
      <c r="B32" s="15" t="s">
        <v>92</v>
      </c>
      <c r="C32" s="15" t="s">
        <v>52</v>
      </c>
      <c r="D32" s="26" t="s">
        <v>130</v>
      </c>
      <c r="E32" s="69">
        <f>_xlfn.IFNA(VLOOKUP(TRIM(CONCATENATE(Tableau1[[#This Row],[PRENOM]],Tableau1[[#This Row],[NOM]])),'T1'!$C$5:$E$106,3,FALSE),90)</f>
        <v>73</v>
      </c>
      <c r="F32" s="69">
        <f>_xlfn.IFNA(VLOOKUP(TRIM(CONCATENATE(Tableau1[[#This Row],[PRENOM]],Tableau1[[#This Row],[NOM]])),'T2'!$C$5:$E$111,3,FALSE),90)</f>
        <v>77</v>
      </c>
      <c r="G32" s="69">
        <f>_xlfn.IFNA(VLOOKUP(TRIM(CONCATENATE(Tableau1[[#This Row],[PRENOM]],Tableau1[[#This Row],[NOM]])),'T3'!$C$5:$E$107,3,FALSE),90)</f>
        <v>69</v>
      </c>
      <c r="H32" s="69">
        <f>_xlfn.IFNA(VLOOKUP(TRIM(CONCATENATE(Tableau1[[#This Row],[PRENOM]],Tableau1[[#This Row],[NOM]])),'T4'!$C$5:$E$108,3,FALSE),90)</f>
        <v>81</v>
      </c>
      <c r="I32" s="69">
        <f>_xlfn.IFNA(VLOOKUP(TRIM(CONCATENATE(Tableau1[[#This Row],[PRENOM]],Tableau1[[#This Row],[NOM]])),'T5'!$C$5:$E$105,3,FALSE),90)</f>
        <v>71</v>
      </c>
      <c r="J32" s="69">
        <f>_xlfn.IFNA(VLOOKUP(TRIM(CONCATENATE(Tableau1[[#This Row],[PRENOM]],Tableau1[[#This Row],[NOM]])),'T6'!$C$5:$E$118,3,FALSE),90)</f>
        <v>90</v>
      </c>
      <c r="K32" s="69">
        <f>_xlfn.IFNA(VLOOKUP(TRIM(CONCATENATE(Tableau1[[#This Row],[PRENOM]],Tableau1[[#This Row],[NOM]])),'T7'!$C$5:$E$106,3,FALSE),90)</f>
        <v>85</v>
      </c>
      <c r="L32" s="74">
        <f t="shared" si="0"/>
        <v>546</v>
      </c>
      <c r="M32" s="71">
        <f t="shared" si="1"/>
        <v>90</v>
      </c>
      <c r="N32" s="72">
        <f t="shared" si="2"/>
        <v>85</v>
      </c>
      <c r="O32" s="33">
        <f t="shared" si="3"/>
        <v>371</v>
      </c>
      <c r="P32" s="33">
        <f>RANK(Tableau1[[#This Row],[SCORE
Final 
2025]],Tableau1[SCORE
Final 
2025],1)</f>
        <v>28</v>
      </c>
    </row>
    <row r="33" spans="2:16" ht="20.100000000000001" customHeight="1" x14ac:dyDescent="0.4">
      <c r="B33" s="7" t="s">
        <v>65</v>
      </c>
      <c r="C33" s="15" t="s">
        <v>14</v>
      </c>
      <c r="D33" s="26" t="s">
        <v>130</v>
      </c>
      <c r="E33" s="69">
        <f>_xlfn.IFNA(VLOOKUP(TRIM(CONCATENATE(Tableau1[[#This Row],[PRENOM]],Tableau1[[#This Row],[NOM]])),'T1'!$C$5:$E$106,3,FALSE),90)</f>
        <v>90</v>
      </c>
      <c r="F33" s="34">
        <f>_xlfn.IFNA(VLOOKUP(TRIM(CONCATENATE(Tableau1[[#This Row],[PRENOM]],Tableau1[[#This Row],[NOM]])),'T2'!$C$5:$E$111,3,FALSE),90)</f>
        <v>71</v>
      </c>
      <c r="G33" s="69">
        <f>_xlfn.IFNA(VLOOKUP(TRIM(CONCATENATE(Tableau1[[#This Row],[PRENOM]],Tableau1[[#This Row],[NOM]])),'T3'!$C$5:$E$107,3,FALSE),90)</f>
        <v>90</v>
      </c>
      <c r="H33" s="69">
        <f>_xlfn.IFNA(VLOOKUP(TRIM(CONCATENATE(Tableau1[[#This Row],[PRENOM]],Tableau1[[#This Row],[NOM]])),'T4'!$C$5:$E$108,3,FALSE),90)</f>
        <v>90</v>
      </c>
      <c r="I33" s="69">
        <f>_xlfn.IFNA(VLOOKUP(TRIM(CONCATENATE(Tableau1[[#This Row],[PRENOM]],Tableau1[[#This Row],[NOM]])),'T5'!$C$5:$E$105,3,FALSE),90)</f>
        <v>80</v>
      </c>
      <c r="J33" s="69">
        <f>_xlfn.IFNA(VLOOKUP(TRIM(CONCATENATE(Tableau1[[#This Row],[PRENOM]],Tableau1[[#This Row],[NOM]])),'T6'!$C$5:$E$118,3,FALSE),90)</f>
        <v>66</v>
      </c>
      <c r="K33" s="69">
        <f>_xlfn.IFNA(VLOOKUP(TRIM(CONCATENATE(Tableau1[[#This Row],[PRENOM]],Tableau1[[#This Row],[NOM]])),'T7'!$C$5:$E$106,3,FALSE),90)</f>
        <v>72</v>
      </c>
      <c r="L33" s="74">
        <f t="shared" si="0"/>
        <v>559</v>
      </c>
      <c r="M33" s="71">
        <f t="shared" si="1"/>
        <v>90</v>
      </c>
      <c r="N33" s="72">
        <f t="shared" si="2"/>
        <v>90</v>
      </c>
      <c r="O33" s="33">
        <f t="shared" si="3"/>
        <v>379</v>
      </c>
      <c r="P33" s="33">
        <f>RANK(Tableau1[[#This Row],[SCORE
Final 
2025]],Tableau1[SCORE
Final 
2025],1)</f>
        <v>29</v>
      </c>
    </row>
    <row r="34" spans="2:16" ht="20.100000000000001" customHeight="1" x14ac:dyDescent="0.4">
      <c r="B34" s="7" t="s">
        <v>170</v>
      </c>
      <c r="C34" s="183" t="s">
        <v>18</v>
      </c>
      <c r="D34" s="26" t="s">
        <v>130</v>
      </c>
      <c r="E34" s="34">
        <f>_xlfn.IFNA(VLOOKUP(TRIM(CONCATENATE(Tableau1[[#This Row],[PRENOM]],Tableau1[[#This Row],[NOM]])),'T1'!$C$5:$E$106,3,FALSE),90)</f>
        <v>69</v>
      </c>
      <c r="F34" s="34">
        <f>_xlfn.IFNA(VLOOKUP(TRIM(CONCATENATE(Tableau1[[#This Row],[PRENOM]],Tableau1[[#This Row],[NOM]])),'T2'!$C$5:$E$111,3,FALSE),90)</f>
        <v>90</v>
      </c>
      <c r="G34" s="34">
        <f>_xlfn.IFNA(VLOOKUP(TRIM(CONCATENATE(Tableau1[[#This Row],[PRENOM]],Tableau1[[#This Row],[NOM]])),'T3'!$C$5:$E$107,3,FALSE),90)</f>
        <v>90</v>
      </c>
      <c r="H34" s="34">
        <f>_xlfn.IFNA(VLOOKUP(TRIM(CONCATENATE(Tableau1[[#This Row],[PRENOM]],Tableau1[[#This Row],[NOM]])),'T4'!$C$5:$E$108,3,FALSE),90)</f>
        <v>67</v>
      </c>
      <c r="I34" s="34">
        <f>_xlfn.IFNA(VLOOKUP(TRIM(CONCATENATE(Tableau1[[#This Row],[PRENOM]],Tableau1[[#This Row],[NOM]])),'T5'!$C$5:$E$105,3,FALSE),90)</f>
        <v>90</v>
      </c>
      <c r="J34" s="34">
        <f>_xlfn.IFNA(VLOOKUP(TRIM(CONCATENATE(Tableau1[[#This Row],[PRENOM]],Tableau1[[#This Row],[NOM]])),'T6'!$C$5:$E$118,3,FALSE),90)</f>
        <v>63</v>
      </c>
      <c r="K34" s="34">
        <f>_xlfn.IFNA(VLOOKUP(TRIM(CONCATENATE(Tableau1[[#This Row],[PRENOM]],Tableau1[[#This Row],[NOM]])),'T7'!$C$5:$E$106,3,FALSE),90)</f>
        <v>90</v>
      </c>
      <c r="L34" s="73">
        <f t="shared" si="0"/>
        <v>559</v>
      </c>
      <c r="M34" s="75">
        <f t="shared" si="1"/>
        <v>90</v>
      </c>
      <c r="N34" s="76">
        <f t="shared" si="2"/>
        <v>90</v>
      </c>
      <c r="O34" s="70">
        <f t="shared" si="3"/>
        <v>379</v>
      </c>
      <c r="P34" s="70">
        <f>RANK(Tableau1[[#This Row],[SCORE
Final 
2025]],Tableau1[SCORE
Final 
2025],1)</f>
        <v>29</v>
      </c>
    </row>
    <row r="35" spans="2:16" ht="20.100000000000001" customHeight="1" x14ac:dyDescent="0.4">
      <c r="B35" s="15" t="s">
        <v>152</v>
      </c>
      <c r="C35" s="15" t="s">
        <v>24</v>
      </c>
      <c r="D35" s="62" t="s">
        <v>13</v>
      </c>
      <c r="E35" s="69">
        <f>_xlfn.IFNA(VLOOKUP(TRIM(CONCATENATE(Tableau1[[#This Row],[PRENOM]],Tableau1[[#This Row],[NOM]])),'T1'!$C$5:$E$106,3,FALSE),90)</f>
        <v>66</v>
      </c>
      <c r="F35" s="69">
        <f>_xlfn.IFNA(VLOOKUP(TRIM(CONCATENATE(Tableau1[[#This Row],[PRENOM]],Tableau1[[#This Row],[NOM]])),'T2'!$C$5:$E$111,3,FALSE),90)</f>
        <v>69</v>
      </c>
      <c r="G35" s="69">
        <f>_xlfn.IFNA(VLOOKUP(TRIM(CONCATENATE(Tableau1[[#This Row],[PRENOM]],Tableau1[[#This Row],[NOM]])),'T3'!$C$5:$E$107,3,FALSE),90)</f>
        <v>90</v>
      </c>
      <c r="H35" s="69">
        <f>_xlfn.IFNA(VLOOKUP(TRIM(CONCATENATE(Tableau1[[#This Row],[PRENOM]],Tableau1[[#This Row],[NOM]])),'T4'!$C$5:$E$108,3,FALSE),90)</f>
        <v>90</v>
      </c>
      <c r="I35" s="69">
        <f>_xlfn.IFNA(VLOOKUP(TRIM(CONCATENATE(Tableau1[[#This Row],[PRENOM]],Tableau1[[#This Row],[NOM]])),'T5'!$C$5:$E$105,3,FALSE),90)</f>
        <v>64</v>
      </c>
      <c r="J35" s="69">
        <f>_xlfn.IFNA(VLOOKUP(TRIM(CONCATENATE(Tableau1[[#This Row],[PRENOM]],Tableau1[[#This Row],[NOM]])),'T6'!$C$5:$E$118,3,FALSE),90)</f>
        <v>90</v>
      </c>
      <c r="K35" s="69">
        <f>_xlfn.IFNA(VLOOKUP(TRIM(CONCATENATE(Tableau1[[#This Row],[PRENOM]],Tableau1[[#This Row],[NOM]])),'T7'!$C$5:$E$106,3,FALSE),90)</f>
        <v>90</v>
      </c>
      <c r="L35" s="74">
        <f t="shared" si="0"/>
        <v>559</v>
      </c>
      <c r="M35" s="71">
        <f t="shared" si="1"/>
        <v>90</v>
      </c>
      <c r="N35" s="72">
        <f t="shared" si="2"/>
        <v>90</v>
      </c>
      <c r="O35" s="33">
        <f t="shared" si="3"/>
        <v>379</v>
      </c>
      <c r="P35" s="33">
        <f>RANK(Tableau1[[#This Row],[SCORE
Final 
2025]],Tableau1[SCORE
Final 
2025],1)</f>
        <v>29</v>
      </c>
    </row>
    <row r="36" spans="2:16" ht="21" customHeight="1" x14ac:dyDescent="0.4">
      <c r="B36" s="7" t="s">
        <v>48</v>
      </c>
      <c r="C36" s="7" t="s">
        <v>31</v>
      </c>
      <c r="D36" s="29" t="s">
        <v>19</v>
      </c>
      <c r="E36" s="34">
        <f>_xlfn.IFNA(VLOOKUP(TRIM(CONCATENATE(Tableau1[[#This Row],[PRENOM]],Tableau1[[#This Row],[NOM]])),'T1'!$C$5:$E$106,3,FALSE),90)</f>
        <v>90</v>
      </c>
      <c r="F36" s="34">
        <f>_xlfn.IFNA(VLOOKUP(TRIM(CONCATENATE(Tableau1[[#This Row],[PRENOM]],Tableau1[[#This Row],[NOM]])),'T2'!$C$5:$E$111,3,FALSE),90)</f>
        <v>90</v>
      </c>
      <c r="G36" s="34">
        <f>_xlfn.IFNA(VLOOKUP(TRIM(CONCATENATE(Tableau1[[#This Row],[PRENOM]],Tableau1[[#This Row],[NOM]])),'T3'!$C$5:$E$107,3,FALSE),90)</f>
        <v>65</v>
      </c>
      <c r="H36" s="34">
        <f>_xlfn.IFNA(VLOOKUP(TRIM(CONCATENATE(Tableau1[[#This Row],[PRENOM]],Tableau1[[#This Row],[NOM]])),'T4'!$C$5:$E$108,3,FALSE),90)</f>
        <v>73</v>
      </c>
      <c r="I36" s="34">
        <f>_xlfn.IFNA(VLOOKUP(TRIM(CONCATENATE(Tableau1[[#This Row],[PRENOM]],Tableau1[[#This Row],[NOM]])),'T5'!$C$5:$E$105,3,FALSE),90)</f>
        <v>90</v>
      </c>
      <c r="J36" s="34">
        <f>_xlfn.IFNA(VLOOKUP(TRIM(CONCATENATE(Tableau1[[#This Row],[PRENOM]],Tableau1[[#This Row],[NOM]])),'T6'!$C$5:$E$118,3,FALSE),90)</f>
        <v>67</v>
      </c>
      <c r="K36" s="34">
        <f>_xlfn.IFNA(VLOOKUP(TRIM(CONCATENATE(Tableau1[[#This Row],[PRENOM]],Tableau1[[#This Row],[NOM]])),'T7'!$C$5:$E$106,3,FALSE),90)</f>
        <v>90</v>
      </c>
      <c r="L36" s="35">
        <f t="shared" si="0"/>
        <v>565</v>
      </c>
      <c r="M36" s="38">
        <f t="shared" si="1"/>
        <v>90</v>
      </c>
      <c r="N36" s="39">
        <f t="shared" si="2"/>
        <v>90</v>
      </c>
      <c r="O36" s="33">
        <f t="shared" si="3"/>
        <v>385</v>
      </c>
      <c r="P36" s="33">
        <f>RANK(Tableau1[[#This Row],[SCORE
Final 
2025]],Tableau1[SCORE
Final 
2025],1)</f>
        <v>32</v>
      </c>
    </row>
    <row r="37" spans="2:16" ht="21" customHeight="1" x14ac:dyDescent="0.4">
      <c r="B37" s="7" t="s">
        <v>147</v>
      </c>
      <c r="C37" s="7" t="s">
        <v>47</v>
      </c>
      <c r="D37" s="32" t="s">
        <v>74</v>
      </c>
      <c r="E37" s="34">
        <f>_xlfn.IFNA(VLOOKUP(TRIM(CONCATENATE(Tableau1[[#This Row],[PRENOM]],Tableau1[[#This Row],[NOM]])),'T1'!$C$5:$E$106,3,FALSE),90)</f>
        <v>72</v>
      </c>
      <c r="F37" s="34">
        <f>_xlfn.IFNA(VLOOKUP(TRIM(CONCATENATE(Tableau1[[#This Row],[PRENOM]],Tableau1[[#This Row],[NOM]])),'T2'!$C$5:$E$111,3,FALSE),90)</f>
        <v>90</v>
      </c>
      <c r="G37" s="34">
        <f>_xlfn.IFNA(VLOOKUP(TRIM(CONCATENATE(Tableau1[[#This Row],[PRENOM]],Tableau1[[#This Row],[NOM]])),'T3'!$C$5:$E$107,3,FALSE),90)</f>
        <v>90</v>
      </c>
      <c r="H37" s="34">
        <f>_xlfn.IFNA(VLOOKUP(TRIM(CONCATENATE(Tableau1[[#This Row],[PRENOM]],Tableau1[[#This Row],[NOM]])),'T4'!$C$5:$E$108,3,FALSE),90)</f>
        <v>90</v>
      </c>
      <c r="I37" s="34">
        <f>_xlfn.IFNA(VLOOKUP(TRIM(CONCATENATE(Tableau1[[#This Row],[PRENOM]],Tableau1[[#This Row],[NOM]])),'T5'!$C$5:$E$105,3,FALSE),90)</f>
        <v>64</v>
      </c>
      <c r="J37" s="34">
        <f>_xlfn.IFNA(VLOOKUP(TRIM(CONCATENATE(Tableau1[[#This Row],[PRENOM]],Tableau1[[#This Row],[NOM]])),'T6'!$C$5:$E$118,3,FALSE),90)</f>
        <v>90</v>
      </c>
      <c r="K37" s="34">
        <f>_xlfn.IFNA(VLOOKUP(TRIM(CONCATENATE(Tableau1[[#This Row],[PRENOM]],Tableau1[[#This Row],[NOM]])),'T7'!$C$5:$E$106,3,FALSE),90)</f>
        <v>70</v>
      </c>
      <c r="L37" s="35">
        <f t="shared" ref="L37:L68" si="4">SUM(E37:K37)</f>
        <v>566</v>
      </c>
      <c r="M37" s="38">
        <f t="shared" ref="M37:M68" si="5">LARGE(E37:K37,1)</f>
        <v>90</v>
      </c>
      <c r="N37" s="39">
        <f t="shared" ref="N37:N68" si="6">LARGE(E37:K37,2)</f>
        <v>90</v>
      </c>
      <c r="O37" s="33">
        <f t="shared" ref="O37:O68" si="7">L37-M37-N37</f>
        <v>386</v>
      </c>
      <c r="P37" s="33">
        <f>RANK(Tableau1[[#This Row],[SCORE
Final 
2025]],Tableau1[SCORE
Final 
2025],1)</f>
        <v>33</v>
      </c>
    </row>
    <row r="38" spans="2:16" ht="21" customHeight="1" x14ac:dyDescent="0.4">
      <c r="B38" s="7" t="s">
        <v>89</v>
      </c>
      <c r="C38" s="7" t="s">
        <v>90</v>
      </c>
      <c r="D38" s="30" t="s">
        <v>8</v>
      </c>
      <c r="E38" s="34">
        <f>_xlfn.IFNA(VLOOKUP(TRIM(CONCATENATE(Tableau1[[#This Row],[PRENOM]],Tableau1[[#This Row],[NOM]])),'T1'!$C$5:$E$106,3,FALSE),90)</f>
        <v>90</v>
      </c>
      <c r="F38" s="34">
        <f>_xlfn.IFNA(VLOOKUP(TRIM(CONCATENATE(Tableau1[[#This Row],[PRENOM]],Tableau1[[#This Row],[NOM]])),'T2'!$C$5:$E$111,3,FALSE),90)</f>
        <v>90</v>
      </c>
      <c r="G38" s="34">
        <f>_xlfn.IFNA(VLOOKUP(TRIM(CONCATENATE(Tableau1[[#This Row],[PRENOM]],Tableau1[[#This Row],[NOM]])),'T3'!$C$5:$E$107,3,FALSE),90)</f>
        <v>70</v>
      </c>
      <c r="H38" s="34">
        <f>_xlfn.IFNA(VLOOKUP(TRIM(CONCATENATE(Tableau1[[#This Row],[PRENOM]],Tableau1[[#This Row],[NOM]])),'T4'!$C$5:$E$108,3,FALSE),90)</f>
        <v>72</v>
      </c>
      <c r="I38" s="34">
        <f>_xlfn.IFNA(VLOOKUP(TRIM(CONCATENATE(Tableau1[[#This Row],[PRENOM]],Tableau1[[#This Row],[NOM]])),'T5'!$C$5:$E$105,3,FALSE),90)</f>
        <v>80</v>
      </c>
      <c r="J38" s="34">
        <f>_xlfn.IFNA(VLOOKUP(TRIM(CONCATENATE(Tableau1[[#This Row],[PRENOM]],Tableau1[[#This Row],[NOM]])),'T6'!$C$5:$E$118,3,FALSE),90)</f>
        <v>90</v>
      </c>
      <c r="K38" s="34">
        <f>_xlfn.IFNA(VLOOKUP(TRIM(CONCATENATE(Tableau1[[#This Row],[PRENOM]],Tableau1[[#This Row],[NOM]])),'T7'!$C$5:$E$106,3,FALSE),90)</f>
        <v>74</v>
      </c>
      <c r="L38" s="35">
        <f t="shared" si="4"/>
        <v>566</v>
      </c>
      <c r="M38" s="38">
        <f t="shared" si="5"/>
        <v>90</v>
      </c>
      <c r="N38" s="39">
        <f t="shared" si="6"/>
        <v>90</v>
      </c>
      <c r="O38" s="33">
        <f t="shared" si="7"/>
        <v>386</v>
      </c>
      <c r="P38" s="33">
        <f>RANK(Tableau1[[#This Row],[SCORE
Final 
2025]],Tableau1[SCORE
Final 
2025],1)</f>
        <v>33</v>
      </c>
    </row>
    <row r="39" spans="2:16" ht="21" customHeight="1" x14ac:dyDescent="0.4">
      <c r="B39" s="15" t="s">
        <v>22</v>
      </c>
      <c r="C39" s="15" t="s">
        <v>23</v>
      </c>
      <c r="D39" s="30" t="s">
        <v>8</v>
      </c>
      <c r="E39" s="69">
        <f>_xlfn.IFNA(VLOOKUP(TRIM(CONCATENATE(Tableau1[[#This Row],[PRENOM]],Tableau1[[#This Row],[NOM]])),'T1'!$C$5:$E$106,3,FALSE),90)</f>
        <v>90</v>
      </c>
      <c r="F39" s="69">
        <f>_xlfn.IFNA(VLOOKUP(TRIM(CONCATENATE(Tableau1[[#This Row],[PRENOM]],Tableau1[[#This Row],[NOM]])),'T2'!$C$5:$E$111,3,FALSE),90)</f>
        <v>73</v>
      </c>
      <c r="G39" s="69">
        <f>_xlfn.IFNA(VLOOKUP(TRIM(CONCATENATE(Tableau1[[#This Row],[PRENOM]],Tableau1[[#This Row],[NOM]])),'T3'!$C$5:$E$107,3,FALSE),90)</f>
        <v>90</v>
      </c>
      <c r="H39" s="69">
        <f>_xlfn.IFNA(VLOOKUP(TRIM(CONCATENATE(Tableau1[[#This Row],[PRENOM]],Tableau1[[#This Row],[NOM]])),'T4'!$C$5:$E$108,3,FALSE),90)</f>
        <v>80</v>
      </c>
      <c r="I39" s="69">
        <f>_xlfn.IFNA(VLOOKUP(TRIM(CONCATENATE(Tableau1[[#This Row],[PRENOM]],Tableau1[[#This Row],[NOM]])),'T5'!$C$5:$E$105,3,FALSE),90)</f>
        <v>75</v>
      </c>
      <c r="J39" s="69">
        <f>_xlfn.IFNA(VLOOKUP(TRIM(CONCATENATE(Tableau1[[#This Row],[PRENOM]],Tableau1[[#This Row],[NOM]])),'T6'!$C$5:$E$118,3,FALSE),90)</f>
        <v>90</v>
      </c>
      <c r="K39" s="69">
        <f>_xlfn.IFNA(VLOOKUP(TRIM(CONCATENATE(Tableau1[[#This Row],[PRENOM]],Tableau1[[#This Row],[NOM]])),'T7'!$C$5:$E$106,3,FALSE),90)</f>
        <v>69</v>
      </c>
      <c r="L39" s="74">
        <f t="shared" si="4"/>
        <v>567</v>
      </c>
      <c r="M39" s="71">
        <f t="shared" si="5"/>
        <v>90</v>
      </c>
      <c r="N39" s="72">
        <f t="shared" si="6"/>
        <v>90</v>
      </c>
      <c r="O39" s="33">
        <f t="shared" si="7"/>
        <v>387</v>
      </c>
      <c r="P39" s="33">
        <f>RANK(Tableau1[[#This Row],[SCORE
Final 
2025]],Tableau1[SCORE
Final 
2025],1)</f>
        <v>35</v>
      </c>
    </row>
    <row r="40" spans="2:16" ht="19.7" customHeight="1" x14ac:dyDescent="0.4">
      <c r="B40" s="235" t="s">
        <v>298</v>
      </c>
      <c r="C40" s="7" t="s">
        <v>39</v>
      </c>
      <c r="D40" s="31" t="s">
        <v>13</v>
      </c>
      <c r="E40" s="34">
        <f>_xlfn.IFNA(VLOOKUP(TRIM(CONCATENATE(Tableau1[[#This Row],[PRENOM]],Tableau1[[#This Row],[NOM]])),'T1'!$C$5:$E$106,3,FALSE),90)</f>
        <v>90</v>
      </c>
      <c r="F40" s="34">
        <f>_xlfn.IFNA(VLOOKUP(TRIM(CONCATENATE(Tableau1[[#This Row],[PRENOM]],Tableau1[[#This Row],[NOM]])),'T2'!$C$5:$E$111,3,FALSE),90)</f>
        <v>90</v>
      </c>
      <c r="G40" s="34">
        <f>_xlfn.IFNA(VLOOKUP(TRIM(CONCATENATE(Tableau1[[#This Row],[PRENOM]],Tableau1[[#This Row],[NOM]])),'T3'!$C$5:$E$107,3,FALSE),90)</f>
        <v>90</v>
      </c>
      <c r="H40" s="34">
        <f>_xlfn.IFNA(VLOOKUP(TRIM(CONCATENATE(Tableau1[[#This Row],[PRENOM]],Tableau1[[#This Row],[NOM]])),'T4'!$C$5:$E$108,3,FALSE),90)</f>
        <v>90</v>
      </c>
      <c r="I40" s="185">
        <f>_xlfn.IFNA(VLOOKUP(TRIM(CONCATENATE(Tableau1[[#This Row],[PRENOM]],Tableau1[[#This Row],[NOM]])),'T5'!$C$5:$E$105,3,FALSE),90)</f>
        <v>90</v>
      </c>
      <c r="J40" s="185">
        <f>_xlfn.IFNA(VLOOKUP(TRIM(CONCATENATE(Tableau1[[#This Row],[PRENOM]],Tableau1[[#This Row],[NOM]])),'T6'!$C$5:$E$118,3,FALSE),90)</f>
        <v>61</v>
      </c>
      <c r="K40" s="34">
        <f>_xlfn.IFNA(VLOOKUP(TRIM(CONCATENATE(Tableau1[[#This Row],[PRENOM]],Tableau1[[#This Row],[NOM]])),'T7'!$C$5:$E$106,3,FALSE),90)</f>
        <v>60</v>
      </c>
      <c r="L40" s="35">
        <f t="shared" si="4"/>
        <v>571</v>
      </c>
      <c r="M40" s="38">
        <f t="shared" si="5"/>
        <v>90</v>
      </c>
      <c r="N40" s="39">
        <f t="shared" si="6"/>
        <v>90</v>
      </c>
      <c r="O40" s="33">
        <f t="shared" si="7"/>
        <v>391</v>
      </c>
      <c r="P40" s="33">
        <f>RANK(Tableau1[[#This Row],[SCORE
Final 
2025]],Tableau1[SCORE
Final 
2025],1)</f>
        <v>36</v>
      </c>
    </row>
    <row r="41" spans="2:16" ht="19.7" customHeight="1" x14ac:dyDescent="0.4">
      <c r="B41" s="15" t="s">
        <v>76</v>
      </c>
      <c r="C41" s="15" t="s">
        <v>31</v>
      </c>
      <c r="D41" s="29" t="s">
        <v>19</v>
      </c>
      <c r="E41" s="69">
        <f>_xlfn.IFNA(VLOOKUP(TRIM(CONCATENATE(Tableau1[[#This Row],[PRENOM]],Tableau1[[#This Row],[NOM]])),'T1'!$C$5:$E$106,3,FALSE),90)</f>
        <v>69</v>
      </c>
      <c r="F41" s="34">
        <f>_xlfn.IFNA(VLOOKUP(TRIM(CONCATENATE(Tableau1[[#This Row],[PRENOM]],Tableau1[[#This Row],[NOM]])),'T2'!$C$5:$E$111,3,FALSE),90)</f>
        <v>72</v>
      </c>
      <c r="G41" s="69">
        <f>_xlfn.IFNA(VLOOKUP(TRIM(CONCATENATE(Tableau1[[#This Row],[PRENOM]],Tableau1[[#This Row],[NOM]])),'T3'!$C$5:$E$107,3,FALSE),90)</f>
        <v>90</v>
      </c>
      <c r="H41" s="69">
        <f>_xlfn.IFNA(VLOOKUP(TRIM(CONCATENATE(Tableau1[[#This Row],[PRENOM]],Tableau1[[#This Row],[NOM]])),'T4'!$C$5:$E$108,3,FALSE),90)</f>
        <v>90</v>
      </c>
      <c r="I41" s="69">
        <f>_xlfn.IFNA(VLOOKUP(TRIM(CONCATENATE(Tableau1[[#This Row],[PRENOM]],Tableau1[[#This Row],[NOM]])),'T5'!$C$5:$E$105,3,FALSE),90)</f>
        <v>90</v>
      </c>
      <c r="J41" s="69">
        <f>_xlfn.IFNA(VLOOKUP(TRIM(CONCATENATE(Tableau1[[#This Row],[PRENOM]],Tableau1[[#This Row],[NOM]])),'T6'!$C$5:$E$118,3,FALSE),90)</f>
        <v>90</v>
      </c>
      <c r="K41" s="69">
        <f>_xlfn.IFNA(VLOOKUP(TRIM(CONCATENATE(Tableau1[[#This Row],[PRENOM]],Tableau1[[#This Row],[NOM]])),'T7'!$C$5:$E$106,3,FALSE),90)</f>
        <v>70</v>
      </c>
      <c r="L41" s="74">
        <f t="shared" si="4"/>
        <v>571</v>
      </c>
      <c r="M41" s="71">
        <f t="shared" si="5"/>
        <v>90</v>
      </c>
      <c r="N41" s="72">
        <f t="shared" si="6"/>
        <v>90</v>
      </c>
      <c r="O41" s="33">
        <f t="shared" si="7"/>
        <v>391</v>
      </c>
      <c r="P41" s="33">
        <f>RANK(Tableau1[[#This Row],[SCORE
Final 
2025]],Tableau1[SCORE
Final 
2025],1)</f>
        <v>36</v>
      </c>
    </row>
    <row r="42" spans="2:16" ht="19.7" customHeight="1" x14ac:dyDescent="0.4">
      <c r="B42" s="234" t="s">
        <v>293</v>
      </c>
      <c r="C42" s="15" t="s">
        <v>24</v>
      </c>
      <c r="D42" s="31" t="s">
        <v>13</v>
      </c>
      <c r="E42" s="69">
        <f>_xlfn.IFNA(VLOOKUP(TRIM(CONCATENATE(Tableau1[[#This Row],[PRENOM]],Tableau1[[#This Row],[NOM]])),'T1'!$C$5:$E$106,3,FALSE),90)</f>
        <v>90</v>
      </c>
      <c r="F42" s="34">
        <f>_xlfn.IFNA(VLOOKUP(TRIM(CONCATENATE(Tableau1[[#This Row],[PRENOM]],Tableau1[[#This Row],[NOM]])),'T2'!$C$5:$E$111,3,FALSE),90)</f>
        <v>90</v>
      </c>
      <c r="G42" s="69">
        <f>_xlfn.IFNA(VLOOKUP(TRIM(CONCATENATE(Tableau1[[#This Row],[PRENOM]],Tableau1[[#This Row],[NOM]])),'T3'!$C$5:$E$107,3,FALSE),90)</f>
        <v>90</v>
      </c>
      <c r="H42" s="69">
        <f>_xlfn.IFNA(VLOOKUP(TRIM(CONCATENATE(Tableau1[[#This Row],[PRENOM]],Tableau1[[#This Row],[NOM]])),'T4'!$C$5:$E$108,3,FALSE),90)</f>
        <v>90</v>
      </c>
      <c r="I42" s="217">
        <f>_xlfn.IFNA(VLOOKUP(TRIM(CONCATENATE(Tableau1[[#This Row],[PRENOM]],Tableau1[[#This Row],[NOM]])),'T5'!$C$5:$E$105,3,FALSE),90)</f>
        <v>90</v>
      </c>
      <c r="J42" s="217">
        <f>_xlfn.IFNA(VLOOKUP(TRIM(CONCATENATE(Tableau1[[#This Row],[PRENOM]],Tableau1[[#This Row],[NOM]])),'T6'!$C$5:$E$118,3,FALSE),90)</f>
        <v>63</v>
      </c>
      <c r="K42" s="69">
        <f>_xlfn.IFNA(VLOOKUP(TRIM(CONCATENATE(Tableau1[[#This Row],[PRENOM]],Tableau1[[#This Row],[NOM]])),'T7'!$C$5:$E$106,3,FALSE),90)</f>
        <v>60</v>
      </c>
      <c r="L42" s="74">
        <f t="shared" si="4"/>
        <v>573</v>
      </c>
      <c r="M42" s="71">
        <f t="shared" si="5"/>
        <v>90</v>
      </c>
      <c r="N42" s="72">
        <f t="shared" si="6"/>
        <v>90</v>
      </c>
      <c r="O42" s="33">
        <f t="shared" si="7"/>
        <v>393</v>
      </c>
      <c r="P42" s="33">
        <f>RANK(Tableau1[[#This Row],[SCORE
Final 
2025]],Tableau1[SCORE
Final 
2025],1)</f>
        <v>38</v>
      </c>
    </row>
    <row r="43" spans="2:16" ht="20.100000000000001" customHeight="1" x14ac:dyDescent="0.4">
      <c r="B43" s="7" t="s">
        <v>42</v>
      </c>
      <c r="C43" s="7" t="s">
        <v>43</v>
      </c>
      <c r="D43" s="30" t="s">
        <v>8</v>
      </c>
      <c r="E43" s="34">
        <f>_xlfn.IFNA(VLOOKUP(TRIM(CONCATENATE(Tableau1[[#This Row],[PRENOM]],Tableau1[[#This Row],[NOM]])),'T1'!$C$5:$E$106,3,FALSE),90)</f>
        <v>90</v>
      </c>
      <c r="F43" s="34">
        <f>_xlfn.IFNA(VLOOKUP(TRIM(CONCATENATE(Tableau1[[#This Row],[PRENOM]],Tableau1[[#This Row],[NOM]])),'T2'!$C$5:$E$111,3,FALSE),90)</f>
        <v>78</v>
      </c>
      <c r="G43" s="34">
        <f>_xlfn.IFNA(VLOOKUP(TRIM(CONCATENATE(Tableau1[[#This Row],[PRENOM]],Tableau1[[#This Row],[NOM]])),'T3'!$C$5:$E$107,3,FALSE),90)</f>
        <v>90</v>
      </c>
      <c r="H43" s="34">
        <f>_xlfn.IFNA(VLOOKUP(TRIM(CONCATENATE(Tableau1[[#This Row],[PRENOM]],Tableau1[[#This Row],[NOM]])),'T4'!$C$5:$E$108,3,FALSE),90)</f>
        <v>69</v>
      </c>
      <c r="I43" s="34">
        <f>_xlfn.IFNA(VLOOKUP(TRIM(CONCATENATE(Tableau1[[#This Row],[PRENOM]],Tableau1[[#This Row],[NOM]])),'T5'!$C$5:$E$105,3,FALSE),90)</f>
        <v>90</v>
      </c>
      <c r="J43" s="34">
        <f>_xlfn.IFNA(VLOOKUP(TRIM(CONCATENATE(Tableau1[[#This Row],[PRENOM]],Tableau1[[#This Row],[NOM]])),'T6'!$C$5:$E$118,3,FALSE),90)</f>
        <v>68</v>
      </c>
      <c r="K43" s="34">
        <f>_xlfn.IFNA(VLOOKUP(TRIM(CONCATENATE(Tableau1[[#This Row],[PRENOM]],Tableau1[[#This Row],[NOM]])),'T7'!$C$5:$E$106,3,FALSE),90)</f>
        <v>90</v>
      </c>
      <c r="L43" s="35">
        <f t="shared" si="4"/>
        <v>575</v>
      </c>
      <c r="M43" s="38">
        <f t="shared" si="5"/>
        <v>90</v>
      </c>
      <c r="N43" s="39">
        <f t="shared" si="6"/>
        <v>90</v>
      </c>
      <c r="O43" s="33">
        <f t="shared" si="7"/>
        <v>395</v>
      </c>
      <c r="P43" s="33">
        <f>RANK(Tableau1[[#This Row],[SCORE
Final 
2025]],Tableau1[SCORE
Final 
2025],1)</f>
        <v>39</v>
      </c>
    </row>
    <row r="44" spans="2:16" ht="20.100000000000001" customHeight="1" x14ac:dyDescent="0.4">
      <c r="B44" s="7" t="s">
        <v>97</v>
      </c>
      <c r="C44" s="218" t="s">
        <v>79</v>
      </c>
      <c r="D44" s="29" t="s">
        <v>19</v>
      </c>
      <c r="E44" s="34">
        <f>_xlfn.IFNA(VLOOKUP(TRIM(CONCATENATE(Tableau1[[#This Row],[PRENOM]],Tableau1[[#This Row],[NOM]])),'T1'!$C$5:$E$106,3,FALSE),90)</f>
        <v>90</v>
      </c>
      <c r="F44" s="34">
        <f>_xlfn.IFNA(VLOOKUP(TRIM(CONCATENATE(Tableau1[[#This Row],[PRENOM]],Tableau1[[#This Row],[NOM]])),'T2'!$C$5:$E$111,3,FALSE),90)</f>
        <v>68</v>
      </c>
      <c r="G44" s="34">
        <f>_xlfn.IFNA(VLOOKUP(TRIM(CONCATENATE(Tableau1[[#This Row],[PRENOM]],Tableau1[[#This Row],[NOM]])),'T3'!$C$5:$E$107,3,FALSE),90)</f>
        <v>67</v>
      </c>
      <c r="H44" s="34">
        <f>_xlfn.IFNA(VLOOKUP(TRIM(CONCATENATE(Tableau1[[#This Row],[PRENOM]],Tableau1[[#This Row],[NOM]])),'T4'!$C$5:$E$108,3,FALSE),90)</f>
        <v>82</v>
      </c>
      <c r="I44" s="34">
        <f>_xlfn.IFNA(VLOOKUP(TRIM(CONCATENATE(Tableau1[[#This Row],[PRENOM]],Tableau1[[#This Row],[NOM]])),'T5'!$C$5:$E$105,3,FALSE),90)</f>
        <v>90</v>
      </c>
      <c r="J44" s="34">
        <f>_xlfn.IFNA(VLOOKUP(TRIM(CONCATENATE(Tableau1[[#This Row],[PRENOM]],Tableau1[[#This Row],[NOM]])),'T6'!$C$5:$E$118,3,FALSE),90)</f>
        <v>90</v>
      </c>
      <c r="K44" s="34">
        <f>_xlfn.IFNA(VLOOKUP(TRIM(CONCATENATE(Tableau1[[#This Row],[PRENOM]],Tableau1[[#This Row],[NOM]])),'T7'!$C$5:$E$106,3,FALSE),90)</f>
        <v>90</v>
      </c>
      <c r="L44" s="35">
        <f t="shared" si="4"/>
        <v>577</v>
      </c>
      <c r="M44" s="38">
        <f t="shared" si="5"/>
        <v>90</v>
      </c>
      <c r="N44" s="39">
        <f t="shared" si="6"/>
        <v>90</v>
      </c>
      <c r="O44" s="33">
        <f t="shared" si="7"/>
        <v>397</v>
      </c>
      <c r="P44" s="33">
        <f>RANK(Tableau1[[#This Row],[SCORE
Final 
2025]],Tableau1[SCORE
Final 
2025],1)</f>
        <v>40</v>
      </c>
    </row>
    <row r="45" spans="2:16" ht="20.100000000000001" customHeight="1" x14ac:dyDescent="0.4">
      <c r="B45" s="15" t="s">
        <v>107</v>
      </c>
      <c r="C45" s="15" t="s">
        <v>37</v>
      </c>
      <c r="D45" s="26" t="s">
        <v>130</v>
      </c>
      <c r="E45" s="34">
        <f>_xlfn.IFNA(VLOOKUP(TRIM(CONCATENATE(Tableau1[[#This Row],[PRENOM]],Tableau1[[#This Row],[NOM]])),'T1'!$C$5:$E$106,3,FALSE),90)</f>
        <v>90</v>
      </c>
      <c r="F45" s="34">
        <f>_xlfn.IFNA(VLOOKUP(TRIM(CONCATENATE(Tableau1[[#This Row],[PRENOM]],Tableau1[[#This Row],[NOM]])),'T2'!$C$5:$E$111,3,FALSE),90)</f>
        <v>70</v>
      </c>
      <c r="G45" s="34">
        <f>_xlfn.IFNA(VLOOKUP(TRIM(CONCATENATE(Tableau1[[#This Row],[PRENOM]],Tableau1[[#This Row],[NOM]])),'T3'!$C$5:$E$107,3,FALSE),90)</f>
        <v>90</v>
      </c>
      <c r="H45" s="34">
        <f>_xlfn.IFNA(VLOOKUP(TRIM(CONCATENATE(Tableau1[[#This Row],[PRENOM]],Tableau1[[#This Row],[NOM]])),'T4'!$C$5:$E$108,3,FALSE),90)</f>
        <v>90</v>
      </c>
      <c r="I45" s="34">
        <f>_xlfn.IFNA(VLOOKUP(TRIM(CONCATENATE(Tableau1[[#This Row],[PRENOM]],Tableau1[[#This Row],[NOM]])),'T5'!$C$5:$E$105,3,FALSE),90)</f>
        <v>90</v>
      </c>
      <c r="J45" s="34">
        <f>_xlfn.IFNA(VLOOKUP(TRIM(CONCATENATE(Tableau1[[#This Row],[PRENOM]],Tableau1[[#This Row],[NOM]])),'T6'!$C$5:$E$118,3,FALSE),90)</f>
        <v>63</v>
      </c>
      <c r="K45" s="34">
        <f>_xlfn.IFNA(VLOOKUP(TRIM(CONCATENATE(Tableau1[[#This Row],[PRENOM]],Tableau1[[#This Row],[NOM]])),'T7'!$C$5:$E$106,3,FALSE),90)</f>
        <v>90</v>
      </c>
      <c r="L45" s="36">
        <f t="shared" si="4"/>
        <v>583</v>
      </c>
      <c r="M45" s="38">
        <f t="shared" si="5"/>
        <v>90</v>
      </c>
      <c r="N45" s="39">
        <f t="shared" si="6"/>
        <v>90</v>
      </c>
      <c r="O45" s="33">
        <f t="shared" si="7"/>
        <v>403</v>
      </c>
      <c r="P45" s="33">
        <f>RANK(Tableau1[[#This Row],[SCORE
Final 
2025]],Tableau1[SCORE
Final 
2025],1)</f>
        <v>41</v>
      </c>
    </row>
    <row r="46" spans="2:16" ht="20.100000000000001" customHeight="1" x14ac:dyDescent="0.4">
      <c r="B46" s="7" t="s">
        <v>120</v>
      </c>
      <c r="C46" s="7" t="s">
        <v>121</v>
      </c>
      <c r="D46" s="29" t="s">
        <v>19</v>
      </c>
      <c r="E46" s="34">
        <f>_xlfn.IFNA(VLOOKUP(TRIM(CONCATENATE(Tableau1[[#This Row],[PRENOM]],Tableau1[[#This Row],[NOM]])),'T1'!$C$5:$E$106,3,FALSE),90)</f>
        <v>90</v>
      </c>
      <c r="F46" s="34">
        <f>_xlfn.IFNA(VLOOKUP(TRIM(CONCATENATE(Tableau1[[#This Row],[PRENOM]],Tableau1[[#This Row],[NOM]])),'T2'!$C$5:$E$111,3,FALSE),90)</f>
        <v>68</v>
      </c>
      <c r="G46" s="34">
        <f>_xlfn.IFNA(VLOOKUP(TRIM(CONCATENATE(Tableau1[[#This Row],[PRENOM]],Tableau1[[#This Row],[NOM]])),'T3'!$C$5:$E$107,3,FALSE),90)</f>
        <v>90</v>
      </c>
      <c r="H46" s="34">
        <f>_xlfn.IFNA(VLOOKUP(TRIM(CONCATENATE(Tableau1[[#This Row],[PRENOM]],Tableau1[[#This Row],[NOM]])),'T4'!$C$5:$E$108,3,FALSE),90)</f>
        <v>90</v>
      </c>
      <c r="I46" s="34">
        <v>68</v>
      </c>
      <c r="J46" s="34">
        <f>_xlfn.IFNA(VLOOKUP(TRIM(CONCATENATE(Tableau1[[#This Row],[PRENOM]],Tableau1[[#This Row],[NOM]])),'T6'!$C$5:$E$118,3,FALSE),90)</f>
        <v>90</v>
      </c>
      <c r="K46" s="34">
        <f>_xlfn.IFNA(VLOOKUP(TRIM(CONCATENATE(Tableau1[[#This Row],[PRENOM]],Tableau1[[#This Row],[NOM]])),'T7'!$C$5:$E$106,3,FALSE),90)</f>
        <v>90</v>
      </c>
      <c r="L46" s="35">
        <f t="shared" si="4"/>
        <v>586</v>
      </c>
      <c r="M46" s="38">
        <f t="shared" si="5"/>
        <v>90</v>
      </c>
      <c r="N46" s="39">
        <f t="shared" si="6"/>
        <v>90</v>
      </c>
      <c r="O46" s="33">
        <f t="shared" si="7"/>
        <v>406</v>
      </c>
      <c r="P46" s="33">
        <f>RANK(Tableau1[[#This Row],[SCORE
Final 
2025]],Tableau1[SCORE
Final 
2025],1)</f>
        <v>42</v>
      </c>
    </row>
    <row r="47" spans="2:16" ht="20.100000000000001" customHeight="1" x14ac:dyDescent="0.4">
      <c r="B47" s="15" t="s">
        <v>212</v>
      </c>
      <c r="C47" s="15" t="s">
        <v>213</v>
      </c>
      <c r="D47" s="26" t="s">
        <v>130</v>
      </c>
      <c r="E47" s="69">
        <f>_xlfn.IFNA(VLOOKUP(TRIM(CONCATENATE(Tableau1[[#This Row],[PRENOM]],Tableau1[[#This Row],[NOM]])),'T1'!$C$5:$E$106,3,FALSE),90)</f>
        <v>90</v>
      </c>
      <c r="F47" s="34">
        <f>_xlfn.IFNA(VLOOKUP(TRIM(CONCATENATE(Tableau1[[#This Row],[PRENOM]],Tableau1[[#This Row],[NOM]])),'T2'!$C$5:$E$111,3,FALSE),90)</f>
        <v>71</v>
      </c>
      <c r="G47" s="69">
        <f>_xlfn.IFNA(VLOOKUP(TRIM(CONCATENATE(Tableau1[[#This Row],[PRENOM]],Tableau1[[#This Row],[NOM]])),'T3'!$C$5:$E$107,3,FALSE),90)</f>
        <v>90</v>
      </c>
      <c r="H47" s="69">
        <f>_xlfn.IFNA(VLOOKUP(TRIM(CONCATENATE(Tableau1[[#This Row],[PRENOM]],Tableau1[[#This Row],[NOM]])),'T4'!$C$5:$E$108,3,FALSE),90)</f>
        <v>90</v>
      </c>
      <c r="I47" s="217">
        <f>_xlfn.IFNA(VLOOKUP(TRIM(CONCATENATE(Tableau1[[#This Row],[PRENOM]],Tableau1[[#This Row],[NOM]])),'T5'!$C$5:$E$105,3,FALSE),90)</f>
        <v>90</v>
      </c>
      <c r="J47" s="217">
        <f>_xlfn.IFNA(VLOOKUP(TRIM(CONCATENATE(Tableau1[[#This Row],[PRENOM]],Tableau1[[#This Row],[NOM]])),'T6'!$C$5:$E$118,3,FALSE),90)</f>
        <v>68</v>
      </c>
      <c r="K47" s="69">
        <f>_xlfn.IFNA(VLOOKUP(TRIM(CONCATENATE(Tableau1[[#This Row],[PRENOM]],Tableau1[[#This Row],[NOM]])),'T7'!$C$5:$E$106,3,FALSE),90)</f>
        <v>90</v>
      </c>
      <c r="L47" s="74">
        <f t="shared" si="4"/>
        <v>589</v>
      </c>
      <c r="M47" s="71">
        <f t="shared" si="5"/>
        <v>90</v>
      </c>
      <c r="N47" s="72">
        <f t="shared" si="6"/>
        <v>90</v>
      </c>
      <c r="O47" s="33">
        <f t="shared" si="7"/>
        <v>409</v>
      </c>
      <c r="P47" s="33">
        <f>RANK(Tableau1[[#This Row],[SCORE
Final 
2025]],Tableau1[SCORE
Final 
2025],1)</f>
        <v>43</v>
      </c>
    </row>
    <row r="48" spans="2:16" ht="20.100000000000001" customHeight="1" x14ac:dyDescent="0.4">
      <c r="B48" s="7" t="s">
        <v>34</v>
      </c>
      <c r="C48" s="7" t="s">
        <v>31</v>
      </c>
      <c r="D48" s="29" t="s">
        <v>19</v>
      </c>
      <c r="E48" s="34">
        <f>_xlfn.IFNA(VLOOKUP(TRIM(CONCATENATE(Tableau1[[#This Row],[PRENOM]],Tableau1[[#This Row],[NOM]])),'T1'!$C$5:$E$106,3,FALSE),90)</f>
        <v>63</v>
      </c>
      <c r="F48" s="34">
        <f>_xlfn.IFNA(VLOOKUP(TRIM(CONCATENATE(Tableau1[[#This Row],[PRENOM]],Tableau1[[#This Row],[NOM]])),'T2'!$C$5:$E$111,3,FALSE),90)</f>
        <v>76</v>
      </c>
      <c r="G48" s="34">
        <f>_xlfn.IFNA(VLOOKUP(TRIM(CONCATENATE(Tableau1[[#This Row],[PRENOM]],Tableau1[[#This Row],[NOM]])),'T3'!$C$5:$E$107,3,FALSE),90)</f>
        <v>90</v>
      </c>
      <c r="H48" s="34">
        <f>_xlfn.IFNA(VLOOKUP(TRIM(CONCATENATE(Tableau1[[#This Row],[PRENOM]],Tableau1[[#This Row],[NOM]])),'T4'!$C$5:$E$108,3,FALSE),90)</f>
        <v>90</v>
      </c>
      <c r="I48" s="34">
        <f>_xlfn.IFNA(VLOOKUP(TRIM(CONCATENATE(Tableau1[[#This Row],[PRENOM]],Tableau1[[#This Row],[NOM]])),'T5'!$C$5:$E$105,3,FALSE),90)</f>
        <v>90</v>
      </c>
      <c r="J48" s="34">
        <f>_xlfn.IFNA(VLOOKUP(TRIM(CONCATENATE(Tableau1[[#This Row],[PRENOM]],Tableau1[[#This Row],[NOM]])),'T6'!$C$5:$E$118,3,FALSE),90)</f>
        <v>90</v>
      </c>
      <c r="K48" s="34">
        <f>_xlfn.IFNA(VLOOKUP(TRIM(CONCATENATE(Tableau1[[#This Row],[PRENOM]],Tableau1[[#This Row],[NOM]])),'T7'!$C$5:$E$106,3,FALSE),90)</f>
        <v>90</v>
      </c>
      <c r="L48" s="35">
        <f t="shared" si="4"/>
        <v>589</v>
      </c>
      <c r="M48" s="38">
        <f t="shared" si="5"/>
        <v>90</v>
      </c>
      <c r="N48" s="39">
        <f t="shared" si="6"/>
        <v>90</v>
      </c>
      <c r="O48" s="33">
        <f t="shared" si="7"/>
        <v>409</v>
      </c>
      <c r="P48" s="33">
        <f>RANK(Tableau1[[#This Row],[SCORE
Final 
2025]],Tableau1[SCORE
Final 
2025],1)</f>
        <v>43</v>
      </c>
    </row>
    <row r="49" spans="2:16" ht="20.100000000000001" customHeight="1" x14ac:dyDescent="0.4">
      <c r="B49" s="7" t="s">
        <v>93</v>
      </c>
      <c r="C49" s="7" t="s">
        <v>47</v>
      </c>
      <c r="D49" s="26" t="s">
        <v>130</v>
      </c>
      <c r="E49" s="34">
        <f>_xlfn.IFNA(VLOOKUP(TRIM(CONCATENATE(Tableau1[[#This Row],[PRENOM]],Tableau1[[#This Row],[NOM]])),'T1'!$C$5:$E$106,3,FALSE),90)</f>
        <v>69</v>
      </c>
      <c r="F49" s="34">
        <f>_xlfn.IFNA(VLOOKUP(TRIM(CONCATENATE(Tableau1[[#This Row],[PRENOM]],Tableau1[[#This Row],[NOM]])),'T2'!$C$5:$E$111,3,FALSE),90)</f>
        <v>90</v>
      </c>
      <c r="G49" s="34">
        <f>_xlfn.IFNA(VLOOKUP(TRIM(CONCATENATE(Tableau1[[#This Row],[PRENOM]],Tableau1[[#This Row],[NOM]])),'T3'!$C$5:$E$107,3,FALSE),90)</f>
        <v>71</v>
      </c>
      <c r="H49" s="34">
        <f>_xlfn.IFNA(VLOOKUP(TRIM(CONCATENATE(Tableau1[[#This Row],[PRENOM]],Tableau1[[#This Row],[NOM]])),'T4'!$C$5:$E$108,3,FALSE),90)</f>
        <v>90</v>
      </c>
      <c r="I49" s="34">
        <f>_xlfn.IFNA(VLOOKUP(TRIM(CONCATENATE(Tableau1[[#This Row],[PRENOM]],Tableau1[[#This Row],[NOM]])),'T5'!$C$5:$E$105,3,FALSE),90)</f>
        <v>90</v>
      </c>
      <c r="J49" s="34">
        <f>_xlfn.IFNA(VLOOKUP(TRIM(CONCATENATE(Tableau1[[#This Row],[PRENOM]],Tableau1[[#This Row],[NOM]])),'T6'!$C$5:$E$118,3,FALSE),90)</f>
        <v>90</v>
      </c>
      <c r="K49" s="34">
        <f>_xlfn.IFNA(VLOOKUP(TRIM(CONCATENATE(Tableau1[[#This Row],[PRENOM]],Tableau1[[#This Row],[NOM]])),'T7'!$C$5:$E$106,3,FALSE),90)</f>
        <v>90</v>
      </c>
      <c r="L49" s="35">
        <f t="shared" si="4"/>
        <v>590</v>
      </c>
      <c r="M49" s="38">
        <f t="shared" si="5"/>
        <v>90</v>
      </c>
      <c r="N49" s="39">
        <f t="shared" si="6"/>
        <v>90</v>
      </c>
      <c r="O49" s="33">
        <f t="shared" si="7"/>
        <v>410</v>
      </c>
      <c r="P49" s="33">
        <f>RANK(Tableau1[[#This Row],[SCORE
Final 
2025]],Tableau1[SCORE
Final 
2025],1)</f>
        <v>45</v>
      </c>
    </row>
    <row r="50" spans="2:16" ht="20.100000000000001" customHeight="1" x14ac:dyDescent="0.4">
      <c r="B50" s="235" t="s">
        <v>264</v>
      </c>
      <c r="C50" s="7" t="s">
        <v>39</v>
      </c>
      <c r="D50" s="29" t="s">
        <v>19</v>
      </c>
      <c r="E50" s="34">
        <f>_xlfn.IFNA(VLOOKUP(TRIM(CONCATENATE(Tableau1[[#This Row],[PRENOM]],Tableau1[[#This Row],[NOM]])),'T1'!$C$5:$E$106,3,FALSE),90)</f>
        <v>90</v>
      </c>
      <c r="F50" s="34">
        <f>_xlfn.IFNA(VLOOKUP(TRIM(CONCATENATE(Tableau1[[#This Row],[PRENOM]],Tableau1[[#This Row],[NOM]])),'T2'!$C$5:$E$111,3,FALSE),90)</f>
        <v>90</v>
      </c>
      <c r="G50" s="34">
        <f>_xlfn.IFNA(VLOOKUP(TRIM(CONCATENATE(Tableau1[[#This Row],[PRENOM]],Tableau1[[#This Row],[NOM]])),'T3'!$C$5:$E$107,3,FALSE),90)</f>
        <v>73</v>
      </c>
      <c r="H50" s="34">
        <f>_xlfn.IFNA(VLOOKUP(TRIM(CONCATENATE(Tableau1[[#This Row],[PRENOM]],Tableau1[[#This Row],[NOM]])),'T4'!$C$5:$E$108,3,FALSE),90)</f>
        <v>90</v>
      </c>
      <c r="I50" s="185">
        <f>_xlfn.IFNA(VLOOKUP(TRIM(CONCATENATE(Tableau1[[#This Row],[PRENOM]],Tableau1[[#This Row],[NOM]])),'T5'!$C$5:$E$105,3,FALSE),90)</f>
        <v>90</v>
      </c>
      <c r="J50" s="185">
        <f>_xlfn.IFNA(VLOOKUP(TRIM(CONCATENATE(Tableau1[[#This Row],[PRENOM]],Tableau1[[#This Row],[NOM]])),'T6'!$C$5:$E$118,3,FALSE),90)</f>
        <v>68</v>
      </c>
      <c r="K50" s="34">
        <f>_xlfn.IFNA(VLOOKUP(TRIM(CONCATENATE(Tableau1[[#This Row],[PRENOM]],Tableau1[[#This Row],[NOM]])),'T7'!$C$5:$E$106,3,FALSE),90)</f>
        <v>90</v>
      </c>
      <c r="L50" s="35">
        <f t="shared" si="4"/>
        <v>591</v>
      </c>
      <c r="M50" s="38">
        <f t="shared" si="5"/>
        <v>90</v>
      </c>
      <c r="N50" s="39">
        <f t="shared" si="6"/>
        <v>90</v>
      </c>
      <c r="O50" s="33">
        <f t="shared" si="7"/>
        <v>411</v>
      </c>
      <c r="P50" s="33">
        <f>RANK(Tableau1[[#This Row],[SCORE
Final 
2025]],Tableau1[SCORE
Final 
2025],1)</f>
        <v>46</v>
      </c>
    </row>
    <row r="51" spans="2:16" ht="20.100000000000001" customHeight="1" x14ac:dyDescent="0.4">
      <c r="B51" s="7" t="s">
        <v>35</v>
      </c>
      <c r="C51" s="7" t="s">
        <v>63</v>
      </c>
      <c r="D51" s="31" t="s">
        <v>13</v>
      </c>
      <c r="E51" s="34">
        <f>_xlfn.IFNA(VLOOKUP(TRIM(CONCATENATE(Tableau1[[#This Row],[PRENOM]],Tableau1[[#This Row],[NOM]])),'T1'!$C$5:$E$106,3,FALSE),90)</f>
        <v>90</v>
      </c>
      <c r="F51" s="34">
        <f>_xlfn.IFNA(VLOOKUP(TRIM(CONCATENATE(Tableau1[[#This Row],[PRENOM]],Tableau1[[#This Row],[NOM]])),'T2'!$C$5:$E$111,3,FALSE),90)</f>
        <v>70</v>
      </c>
      <c r="G51" s="34">
        <f>_xlfn.IFNA(VLOOKUP(TRIM(CONCATENATE(Tableau1[[#This Row],[PRENOM]],Tableau1[[#This Row],[NOM]])),'T3'!$C$5:$E$107,3,FALSE),90)</f>
        <v>90</v>
      </c>
      <c r="H51" s="34">
        <v>71</v>
      </c>
      <c r="I51" s="34">
        <f>_xlfn.IFNA(VLOOKUP(TRIM(CONCATENATE(Tableau1[[#This Row],[PRENOM]],Tableau1[[#This Row],[NOM]])),'T5'!$C$5:$E$105,3,FALSE),90)</f>
        <v>90</v>
      </c>
      <c r="J51" s="34">
        <f>_xlfn.IFNA(VLOOKUP(TRIM(CONCATENATE(Tableau1[[#This Row],[PRENOM]],Tableau1[[#This Row],[NOM]])),'T6'!$C$5:$E$118,3,FALSE),90)</f>
        <v>90</v>
      </c>
      <c r="K51" s="34">
        <f>_xlfn.IFNA(VLOOKUP(TRIM(CONCATENATE(Tableau1[[#This Row],[PRENOM]],Tableau1[[#This Row],[NOM]])),'T7'!$C$5:$E$106,3,FALSE),90)</f>
        <v>90</v>
      </c>
      <c r="L51" s="35">
        <f t="shared" si="4"/>
        <v>591</v>
      </c>
      <c r="M51" s="38">
        <f t="shared" si="5"/>
        <v>90</v>
      </c>
      <c r="N51" s="39">
        <f t="shared" si="6"/>
        <v>90</v>
      </c>
      <c r="O51" s="33">
        <f t="shared" si="7"/>
        <v>411</v>
      </c>
      <c r="P51" s="33">
        <f>RANK(Tableau1[[#This Row],[SCORE
Final 
2025]],Tableau1[SCORE
Final 
2025],1)</f>
        <v>46</v>
      </c>
    </row>
    <row r="52" spans="2:16" ht="20.100000000000001" customHeight="1" x14ac:dyDescent="0.4">
      <c r="B52" s="15" t="s">
        <v>216</v>
      </c>
      <c r="C52" s="15" t="s">
        <v>23</v>
      </c>
      <c r="D52" s="29" t="s">
        <v>19</v>
      </c>
      <c r="E52" s="69">
        <f>_xlfn.IFNA(VLOOKUP(TRIM(CONCATENATE(Tableau1[[#This Row],[PRENOM]],Tableau1[[#This Row],[NOM]])),'T1'!$C$5:$E$106,3,FALSE),90)</f>
        <v>90</v>
      </c>
      <c r="F52" s="69">
        <f>_xlfn.IFNA(VLOOKUP(TRIM(CONCATENATE(Tableau1[[#This Row],[PRENOM]],Tableau1[[#This Row],[NOM]])),'T2'!$C$5:$E$111,3,FALSE),90)</f>
        <v>73</v>
      </c>
      <c r="G52" s="69">
        <f>_xlfn.IFNA(VLOOKUP(TRIM(CONCATENATE(Tableau1[[#This Row],[PRENOM]],Tableau1[[#This Row],[NOM]])),'T3'!$C$5:$E$107,3,FALSE),90)</f>
        <v>90</v>
      </c>
      <c r="H52" s="69">
        <f>_xlfn.IFNA(VLOOKUP(TRIM(CONCATENATE(Tableau1[[#This Row],[PRENOM]],Tableau1[[#This Row],[NOM]])),'T4'!$C$5:$E$108,3,FALSE),90)</f>
        <v>71</v>
      </c>
      <c r="I52" s="69">
        <f>_xlfn.IFNA(VLOOKUP(TRIM(CONCATENATE(Tableau1[[#This Row],[PRENOM]],Tableau1[[#This Row],[NOM]])),'T5'!$C$5:$E$105,3,FALSE),90)</f>
        <v>90</v>
      </c>
      <c r="J52" s="69">
        <f>_xlfn.IFNA(VLOOKUP(TRIM(CONCATENATE(Tableau1[[#This Row],[PRENOM]],Tableau1[[#This Row],[NOM]])),'T6'!$C$5:$E$118,3,FALSE),90)</f>
        <v>90</v>
      </c>
      <c r="K52" s="69">
        <f>_xlfn.IFNA(VLOOKUP(TRIM(CONCATENATE(Tableau1[[#This Row],[PRENOM]],Tableau1[[#This Row],[NOM]])),'T7'!$C$5:$E$106,3,FALSE),90)</f>
        <v>90</v>
      </c>
      <c r="L52" s="74">
        <f t="shared" si="4"/>
        <v>594</v>
      </c>
      <c r="M52" s="71">
        <f t="shared" si="5"/>
        <v>90</v>
      </c>
      <c r="N52" s="72">
        <f t="shared" si="6"/>
        <v>90</v>
      </c>
      <c r="O52" s="33">
        <f t="shared" si="7"/>
        <v>414</v>
      </c>
      <c r="P52" s="33">
        <f>RANK(Tableau1[[#This Row],[SCORE
Final 
2025]],Tableau1[SCORE
Final 
2025],1)</f>
        <v>48</v>
      </c>
    </row>
    <row r="53" spans="2:16" ht="20.100000000000001" customHeight="1" x14ac:dyDescent="0.4">
      <c r="B53" s="235" t="s">
        <v>306</v>
      </c>
      <c r="C53" s="7" t="s">
        <v>307</v>
      </c>
      <c r="D53" s="30" t="s">
        <v>8</v>
      </c>
      <c r="E53" s="34">
        <f>_xlfn.IFNA(VLOOKUP(TRIM(CONCATENATE(Tableau1[[#This Row],[PRENOM]],Tableau1[[#This Row],[NOM]])),'T1'!$C$5:$E$106,3,FALSE),90)</f>
        <v>90</v>
      </c>
      <c r="F53" s="34">
        <f>_xlfn.IFNA(VLOOKUP(TRIM(CONCATENATE(Tableau1[[#This Row],[PRENOM]],Tableau1[[#This Row],[NOM]])),'T2'!$C$5:$E$111,3,FALSE),90)</f>
        <v>90</v>
      </c>
      <c r="G53" s="34">
        <f>_xlfn.IFNA(VLOOKUP(TRIM(CONCATENATE(Tableau1[[#This Row],[PRENOM]],Tableau1[[#This Row],[NOM]])),'T3'!$C$5:$E$107,3,FALSE),90)</f>
        <v>90</v>
      </c>
      <c r="H53" s="34">
        <f>_xlfn.IFNA(VLOOKUP(TRIM(CONCATENATE(Tableau1[[#This Row],[PRENOM]],Tableau1[[#This Row],[NOM]])),'T4'!$C$5:$E$108,3,FALSE),90)</f>
        <v>90</v>
      </c>
      <c r="I53" s="185">
        <f>_xlfn.IFNA(VLOOKUP(TRIM(CONCATENATE(Tableau1[[#This Row],[PRENOM]],Tableau1[[#This Row],[NOM]])),'T5'!$C$5:$E$105,3,FALSE),90)</f>
        <v>90</v>
      </c>
      <c r="J53" s="185">
        <f>_xlfn.IFNA(VLOOKUP(TRIM(CONCATENATE(Tableau1[[#This Row],[PRENOM]],Tableau1[[#This Row],[NOM]])),'T6'!$C$5:$E$118,3,FALSE),90)</f>
        <v>75</v>
      </c>
      <c r="K53" s="34">
        <f>_xlfn.IFNA(VLOOKUP(TRIM(CONCATENATE(Tableau1[[#This Row],[PRENOM]],Tableau1[[#This Row],[NOM]])),'T7'!$C$5:$E$106,3,FALSE),90)</f>
        <v>69</v>
      </c>
      <c r="L53" s="35">
        <f t="shared" si="4"/>
        <v>594</v>
      </c>
      <c r="M53" s="38">
        <f t="shared" si="5"/>
        <v>90</v>
      </c>
      <c r="N53" s="39">
        <f t="shared" si="6"/>
        <v>90</v>
      </c>
      <c r="O53" s="33">
        <f t="shared" si="7"/>
        <v>414</v>
      </c>
      <c r="P53" s="33">
        <f>RANK(Tableau1[[#This Row],[SCORE
Final 
2025]],Tableau1[SCORE
Final 
2025],1)</f>
        <v>48</v>
      </c>
    </row>
    <row r="54" spans="2:16" ht="20.100000000000001" customHeight="1" x14ac:dyDescent="0.4">
      <c r="B54" s="235" t="s">
        <v>295</v>
      </c>
      <c r="C54" s="7" t="s">
        <v>85</v>
      </c>
      <c r="D54" s="31" t="s">
        <v>13</v>
      </c>
      <c r="E54" s="34">
        <f>_xlfn.IFNA(VLOOKUP(TRIM(CONCATENATE(Tableau1[[#This Row],[PRENOM]],Tableau1[[#This Row],[NOM]])),'T1'!$C$5:$E$106,3,FALSE),90)</f>
        <v>90</v>
      </c>
      <c r="F54" s="34">
        <f>_xlfn.IFNA(VLOOKUP(TRIM(CONCATENATE(Tableau1[[#This Row],[PRENOM]],Tableau1[[#This Row],[NOM]])),'T2'!$C$5:$E$111,3,FALSE),90)</f>
        <v>90</v>
      </c>
      <c r="G54" s="34">
        <f>_xlfn.IFNA(VLOOKUP(TRIM(CONCATENATE(Tableau1[[#This Row],[PRENOM]],Tableau1[[#This Row],[NOM]])),'T3'!$C$5:$E$107,3,FALSE),90)</f>
        <v>90</v>
      </c>
      <c r="H54" s="34">
        <f>_xlfn.IFNA(VLOOKUP(TRIM(CONCATENATE(Tableau1[[#This Row],[PRENOM]],Tableau1[[#This Row],[NOM]])),'T4'!$C$5:$E$108,3,FALSE),90)</f>
        <v>90</v>
      </c>
      <c r="I54" s="185">
        <f>_xlfn.IFNA(VLOOKUP(TRIM(CONCATENATE(Tableau1[[#This Row],[PRENOM]],Tableau1[[#This Row],[NOM]])),'T5'!$C$5:$E$105,3,FALSE),90)</f>
        <v>90</v>
      </c>
      <c r="J54" s="185">
        <f>_xlfn.IFNA(VLOOKUP(TRIM(CONCATENATE(Tableau1[[#This Row],[PRENOM]],Tableau1[[#This Row],[NOM]])),'T6'!$C$5:$E$118,3,FALSE),90)</f>
        <v>58</v>
      </c>
      <c r="K54" s="34">
        <f>_xlfn.IFNA(VLOOKUP(TRIM(CONCATENATE(Tableau1[[#This Row],[PRENOM]],Tableau1[[#This Row],[NOM]])),'T7'!$C$5:$E$106,3,FALSE),90)</f>
        <v>90</v>
      </c>
      <c r="L54" s="35">
        <f t="shared" si="4"/>
        <v>598</v>
      </c>
      <c r="M54" s="38">
        <f t="shared" si="5"/>
        <v>90</v>
      </c>
      <c r="N54" s="39">
        <f t="shared" si="6"/>
        <v>90</v>
      </c>
      <c r="O54" s="33">
        <f t="shared" si="7"/>
        <v>418</v>
      </c>
      <c r="P54" s="33">
        <f>RANK(Tableau1[[#This Row],[SCORE
Final 
2025]],Tableau1[SCORE
Final 
2025],1)</f>
        <v>50</v>
      </c>
    </row>
    <row r="55" spans="2:16" ht="20.100000000000001" customHeight="1" x14ac:dyDescent="0.4">
      <c r="B55" s="7" t="s">
        <v>172</v>
      </c>
      <c r="C55" s="7" t="s">
        <v>47</v>
      </c>
      <c r="D55" s="29" t="s">
        <v>19</v>
      </c>
      <c r="E55" s="34">
        <f>_xlfn.IFNA(VLOOKUP(TRIM(CONCATENATE(Tableau1[[#This Row],[PRENOM]],Tableau1[[#This Row],[NOM]])),'T1'!$C$5:$E$106,3,FALSE),90)</f>
        <v>60</v>
      </c>
      <c r="F55" s="34">
        <f>_xlfn.IFNA(VLOOKUP(TRIM(CONCATENATE(Tableau1[[#This Row],[PRENOM]],Tableau1[[#This Row],[NOM]])),'T2'!$C$5:$E$111,3,FALSE),90)</f>
        <v>90</v>
      </c>
      <c r="G55" s="34">
        <f>_xlfn.IFNA(VLOOKUP(TRIM(CONCATENATE(Tableau1[[#This Row],[PRENOM]],Tableau1[[#This Row],[NOM]])),'T3'!$C$5:$E$107,3,FALSE),90)</f>
        <v>90</v>
      </c>
      <c r="H55" s="34">
        <f>_xlfn.IFNA(VLOOKUP(TRIM(CONCATENATE(Tableau1[[#This Row],[PRENOM]],Tableau1[[#This Row],[NOM]])),'T4'!$C$5:$E$108,3,FALSE),90)</f>
        <v>90</v>
      </c>
      <c r="I55" s="34">
        <f>_xlfn.IFNA(VLOOKUP(TRIM(CONCATENATE(Tableau1[[#This Row],[PRENOM]],Tableau1[[#This Row],[NOM]])),'T5'!$C$5:$E$105,3,FALSE),90)</f>
        <v>90</v>
      </c>
      <c r="J55" s="34">
        <f>_xlfn.IFNA(VLOOKUP(TRIM(CONCATENATE(Tableau1[[#This Row],[PRENOM]],Tableau1[[#This Row],[NOM]])),'T6'!$C$5:$E$118,3,FALSE),90)</f>
        <v>90</v>
      </c>
      <c r="K55" s="34">
        <f>_xlfn.IFNA(VLOOKUP(TRIM(CONCATENATE(Tableau1[[#This Row],[PRENOM]],Tableau1[[#This Row],[NOM]])),'T7'!$C$5:$E$106,3,FALSE),90)</f>
        <v>90</v>
      </c>
      <c r="L55" s="35">
        <f t="shared" si="4"/>
        <v>600</v>
      </c>
      <c r="M55" s="38">
        <f t="shared" si="5"/>
        <v>90</v>
      </c>
      <c r="N55" s="39">
        <f t="shared" si="6"/>
        <v>90</v>
      </c>
      <c r="O55" s="33">
        <f t="shared" si="7"/>
        <v>420</v>
      </c>
      <c r="P55" s="33">
        <f>RANK(Tableau1[[#This Row],[SCORE
Final 
2025]],Tableau1[SCORE
Final 
2025],1)</f>
        <v>51</v>
      </c>
    </row>
    <row r="56" spans="2:16" ht="20.100000000000001" customHeight="1" x14ac:dyDescent="0.4">
      <c r="B56" s="234" t="s">
        <v>292</v>
      </c>
      <c r="C56" s="15" t="s">
        <v>132</v>
      </c>
      <c r="D56" s="31" t="s">
        <v>13</v>
      </c>
      <c r="E56" s="69">
        <f>_xlfn.IFNA(VLOOKUP(TRIM(CONCATENATE(Tableau1[[#This Row],[PRENOM]],Tableau1[[#This Row],[NOM]])),'T1'!$C$5:$E$106,3,FALSE),90)</f>
        <v>90</v>
      </c>
      <c r="F56" s="69">
        <f>_xlfn.IFNA(VLOOKUP(TRIM(CONCATENATE(Tableau1[[#This Row],[PRENOM]],Tableau1[[#This Row],[NOM]])),'T2'!$C$5:$E$111,3,FALSE),90)</f>
        <v>90</v>
      </c>
      <c r="G56" s="69">
        <f>_xlfn.IFNA(VLOOKUP(TRIM(CONCATENATE(Tableau1[[#This Row],[PRENOM]],Tableau1[[#This Row],[NOM]])),'T3'!$C$5:$E$107,3,FALSE),90)</f>
        <v>90</v>
      </c>
      <c r="H56" s="69">
        <f>_xlfn.IFNA(VLOOKUP(TRIM(CONCATENATE(Tableau1[[#This Row],[PRENOM]],Tableau1[[#This Row],[NOM]])),'T4'!$C$5:$E$108,3,FALSE),90)</f>
        <v>90</v>
      </c>
      <c r="I56" s="217">
        <f>_xlfn.IFNA(VLOOKUP(TRIM(CONCATENATE(Tableau1[[#This Row],[PRENOM]],Tableau1[[#This Row],[NOM]])),'T5'!$C$5:$E$105,3,FALSE),90)</f>
        <v>90</v>
      </c>
      <c r="J56" s="217">
        <f>_xlfn.IFNA(VLOOKUP(TRIM(CONCATENATE(Tableau1[[#This Row],[PRENOM]],Tableau1[[#This Row],[NOM]])),'T6'!$C$5:$E$118,3,FALSE),90)</f>
        <v>61</v>
      </c>
      <c r="K56" s="69">
        <f>_xlfn.IFNA(VLOOKUP(TRIM(CONCATENATE(Tableau1[[#This Row],[PRENOM]],Tableau1[[#This Row],[NOM]])),'T7'!$C$5:$E$106,3,FALSE),90)</f>
        <v>90</v>
      </c>
      <c r="L56" s="74">
        <f t="shared" si="4"/>
        <v>601</v>
      </c>
      <c r="M56" s="71">
        <f t="shared" si="5"/>
        <v>90</v>
      </c>
      <c r="N56" s="72">
        <f t="shared" si="6"/>
        <v>90</v>
      </c>
      <c r="O56" s="33">
        <f t="shared" si="7"/>
        <v>421</v>
      </c>
      <c r="P56" s="33">
        <f>RANK(Tableau1[[#This Row],[SCORE
Final 
2025]],Tableau1[SCORE
Final 
2025],1)</f>
        <v>52</v>
      </c>
    </row>
    <row r="57" spans="2:16" ht="20.100000000000001" customHeight="1" x14ac:dyDescent="0.4">
      <c r="B57" s="165" t="s">
        <v>238</v>
      </c>
      <c r="C57" s="165" t="s">
        <v>240</v>
      </c>
      <c r="D57" s="31" t="s">
        <v>13</v>
      </c>
      <c r="E57" s="166">
        <f>_xlfn.IFNA(VLOOKUP(TRIM(CONCATENATE(Tableau1[[#This Row],[PRENOM]],Tableau1[[#This Row],[NOM]])),'T1'!$C$5:$E$106,3,FALSE),90)</f>
        <v>90</v>
      </c>
      <c r="F57" s="34">
        <f>_xlfn.IFNA(VLOOKUP(TRIM(CONCATENATE(Tableau1[[#This Row],[PRENOM]],Tableau1[[#This Row],[NOM]])),'T2'!$C$5:$E$111,3,FALSE),90)</f>
        <v>62</v>
      </c>
      <c r="G57" s="166">
        <f>_xlfn.IFNA(VLOOKUP(TRIM(CONCATENATE(Tableau1[[#This Row],[PRENOM]],Tableau1[[#This Row],[NOM]])),'T3'!$C$5:$E$107,3,FALSE),90)</f>
        <v>90</v>
      </c>
      <c r="H57" s="166">
        <f>_xlfn.IFNA(VLOOKUP(TRIM(CONCATENATE(Tableau1[[#This Row],[PRENOM]],Tableau1[[#This Row],[NOM]])),'T4'!$C$5:$E$108,3,FALSE),90)</f>
        <v>90</v>
      </c>
      <c r="I57" s="167">
        <f>_xlfn.IFNA(VLOOKUP(TRIM(CONCATENATE(Tableau1[[#This Row],[PRENOM]],Tableau1[[#This Row],[NOM]])),'T5'!$C$5:$E$105,3,FALSE),90)</f>
        <v>90</v>
      </c>
      <c r="J57" s="167">
        <f>_xlfn.IFNA(VLOOKUP(TRIM(CONCATENATE(Tableau1[[#This Row],[PRENOM]],Tableau1[[#This Row],[NOM]])),'T6'!$C$5:$E$118,3,FALSE),90)</f>
        <v>90</v>
      </c>
      <c r="K57" s="166">
        <f>_xlfn.IFNA(VLOOKUP(TRIM(CONCATENATE(Tableau1[[#This Row],[PRENOM]],Tableau1[[#This Row],[NOM]])),'T7'!$C$5:$E$106,3,FALSE),90)</f>
        <v>90</v>
      </c>
      <c r="L57" s="168">
        <f t="shared" si="4"/>
        <v>602</v>
      </c>
      <c r="M57" s="169">
        <f t="shared" si="5"/>
        <v>90</v>
      </c>
      <c r="N57" s="170">
        <f t="shared" si="6"/>
        <v>90</v>
      </c>
      <c r="O57" s="164">
        <f t="shared" si="7"/>
        <v>422</v>
      </c>
      <c r="P57" s="164">
        <f>RANK(Tableau1[[#This Row],[SCORE
Final 
2025]],Tableau1[SCORE
Final 
2025],1)</f>
        <v>53</v>
      </c>
    </row>
    <row r="58" spans="2:16" ht="20.100000000000001" customHeight="1" x14ac:dyDescent="0.4">
      <c r="B58" s="235" t="s">
        <v>291</v>
      </c>
      <c r="C58" s="7" t="s">
        <v>25</v>
      </c>
      <c r="D58" s="31" t="s">
        <v>13</v>
      </c>
      <c r="E58" s="34">
        <f>_xlfn.IFNA(VLOOKUP(TRIM(CONCATENATE(Tableau1[[#This Row],[PRENOM]],Tableau1[[#This Row],[NOM]])),'T1'!$C$5:$E$106,3,FALSE),90)</f>
        <v>90</v>
      </c>
      <c r="F58" s="34">
        <f>_xlfn.IFNA(VLOOKUP(TRIM(CONCATENATE(Tableau1[[#This Row],[PRENOM]],Tableau1[[#This Row],[NOM]])),'T2'!$C$5:$E$111,3,FALSE),90)</f>
        <v>90</v>
      </c>
      <c r="G58" s="34">
        <f>_xlfn.IFNA(VLOOKUP(TRIM(CONCATENATE(Tableau1[[#This Row],[PRENOM]],Tableau1[[#This Row],[NOM]])),'T3'!$C$5:$E$107,3,FALSE),90)</f>
        <v>90</v>
      </c>
      <c r="H58" s="34">
        <f>_xlfn.IFNA(VLOOKUP(TRIM(CONCATENATE(Tableau1[[#This Row],[PRENOM]],Tableau1[[#This Row],[NOM]])),'T4'!$C$5:$E$108,3,FALSE),90)</f>
        <v>90</v>
      </c>
      <c r="I58" s="185">
        <f>_xlfn.IFNA(VLOOKUP(TRIM(CONCATENATE(Tableau1[[#This Row],[PRENOM]],Tableau1[[#This Row],[NOM]])),'T5'!$C$5:$E$105,3,FALSE),90)</f>
        <v>90</v>
      </c>
      <c r="J58" s="185">
        <f>_xlfn.IFNA(VLOOKUP(TRIM(CONCATENATE(Tableau1[[#This Row],[PRENOM]],Tableau1[[#This Row],[NOM]])),'T6'!$C$5:$E$118,3,FALSE),90)</f>
        <v>64</v>
      </c>
      <c r="K58" s="34">
        <f>_xlfn.IFNA(VLOOKUP(TRIM(CONCATENATE(Tableau1[[#This Row],[PRENOM]],Tableau1[[#This Row],[NOM]])),'T7'!$C$5:$E$106,3,FALSE),90)</f>
        <v>90</v>
      </c>
      <c r="L58" s="35">
        <f t="shared" si="4"/>
        <v>604</v>
      </c>
      <c r="M58" s="38">
        <f t="shared" si="5"/>
        <v>90</v>
      </c>
      <c r="N58" s="39">
        <f t="shared" si="6"/>
        <v>90</v>
      </c>
      <c r="O58" s="33">
        <f t="shared" si="7"/>
        <v>424</v>
      </c>
      <c r="P58" s="33">
        <f>RANK(Tableau1[[#This Row],[SCORE
Final 
2025]],Tableau1[SCORE
Final 
2025],1)</f>
        <v>54</v>
      </c>
    </row>
    <row r="59" spans="2:16" ht="20.100000000000001" customHeight="1" x14ac:dyDescent="0.4">
      <c r="B59" s="235" t="s">
        <v>296</v>
      </c>
      <c r="C59" s="7" t="s">
        <v>85</v>
      </c>
      <c r="D59" s="31" t="s">
        <v>13</v>
      </c>
      <c r="E59" s="34">
        <f>_xlfn.IFNA(VLOOKUP(TRIM(CONCATENATE(Tableau1[[#This Row],[PRENOM]],Tableau1[[#This Row],[NOM]])),'T1'!$C$5:$E$106,3,FALSE),90)</f>
        <v>90</v>
      </c>
      <c r="F59" s="34">
        <f>_xlfn.IFNA(VLOOKUP(TRIM(CONCATENATE(Tableau1[[#This Row],[PRENOM]],Tableau1[[#This Row],[NOM]])),'T2'!$C$5:$E$111,3,FALSE),90)</f>
        <v>90</v>
      </c>
      <c r="G59" s="34">
        <f>_xlfn.IFNA(VLOOKUP(TRIM(CONCATENATE(Tableau1[[#This Row],[PRENOM]],Tableau1[[#This Row],[NOM]])),'T3'!$C$5:$E$107,3,FALSE),90)</f>
        <v>90</v>
      </c>
      <c r="H59" s="34">
        <f>_xlfn.IFNA(VLOOKUP(TRIM(CONCATENATE(Tableau1[[#This Row],[PRENOM]],Tableau1[[#This Row],[NOM]])),'T4'!$C$5:$E$108,3,FALSE),90)</f>
        <v>90</v>
      </c>
      <c r="I59" s="185">
        <f>_xlfn.IFNA(VLOOKUP(TRIM(CONCATENATE(Tableau1[[#This Row],[PRENOM]],Tableau1[[#This Row],[NOM]])),'T5'!$C$5:$E$105,3,FALSE),90)</f>
        <v>90</v>
      </c>
      <c r="J59" s="185">
        <f>_xlfn.IFNA(VLOOKUP(TRIM(CONCATENATE(Tableau1[[#This Row],[PRENOM]],Tableau1[[#This Row],[NOM]])),'T6'!$C$5:$E$118,3,FALSE),90)</f>
        <v>66</v>
      </c>
      <c r="K59" s="34">
        <f>_xlfn.IFNA(VLOOKUP(TRIM(CONCATENATE(Tableau1[[#This Row],[PRENOM]],Tableau1[[#This Row],[NOM]])),'T7'!$C$5:$E$106,3,FALSE),90)</f>
        <v>90</v>
      </c>
      <c r="L59" s="35">
        <f t="shared" si="4"/>
        <v>606</v>
      </c>
      <c r="M59" s="38">
        <f t="shared" si="5"/>
        <v>90</v>
      </c>
      <c r="N59" s="39">
        <f t="shared" si="6"/>
        <v>90</v>
      </c>
      <c r="O59" s="33">
        <f t="shared" si="7"/>
        <v>426</v>
      </c>
      <c r="P59" s="33">
        <f>RANK(Tableau1[[#This Row],[SCORE
Final 
2025]],Tableau1[SCORE
Final 
2025],1)</f>
        <v>55</v>
      </c>
    </row>
    <row r="60" spans="2:16" ht="20.100000000000001" customHeight="1" x14ac:dyDescent="0.4">
      <c r="B60" s="234" t="s">
        <v>297</v>
      </c>
      <c r="C60" s="15" t="s">
        <v>85</v>
      </c>
      <c r="D60" s="31" t="s">
        <v>13</v>
      </c>
      <c r="E60" s="69">
        <f>_xlfn.IFNA(VLOOKUP(TRIM(CONCATENATE(Tableau1[[#This Row],[PRENOM]],Tableau1[[#This Row],[NOM]])),'T1'!$C$5:$E$106,3,FALSE),90)</f>
        <v>90</v>
      </c>
      <c r="F60" s="34">
        <f>_xlfn.IFNA(VLOOKUP(TRIM(CONCATENATE(Tableau1[[#This Row],[PRENOM]],Tableau1[[#This Row],[NOM]])),'T2'!$C$5:$E$111,3,FALSE),90)</f>
        <v>90</v>
      </c>
      <c r="G60" s="69">
        <f>_xlfn.IFNA(VLOOKUP(TRIM(CONCATENATE(Tableau1[[#This Row],[PRENOM]],Tableau1[[#This Row],[NOM]])),'T3'!$C$5:$E$107,3,FALSE),90)</f>
        <v>90</v>
      </c>
      <c r="H60" s="69">
        <f>_xlfn.IFNA(VLOOKUP(TRIM(CONCATENATE(Tableau1[[#This Row],[PRENOM]],Tableau1[[#This Row],[NOM]])),'T4'!$C$5:$E$108,3,FALSE),90)</f>
        <v>90</v>
      </c>
      <c r="I60" s="217">
        <f>_xlfn.IFNA(VLOOKUP(TRIM(CONCATENATE(Tableau1[[#This Row],[PRENOM]],Tableau1[[#This Row],[NOM]])),'T5'!$C$5:$E$105,3,FALSE),90)</f>
        <v>90</v>
      </c>
      <c r="J60" s="217">
        <f>_xlfn.IFNA(VLOOKUP(TRIM(CONCATENATE(Tableau1[[#This Row],[PRENOM]],Tableau1[[#This Row],[NOM]])),'T6'!$C$5:$E$118,3,FALSE),90)</f>
        <v>66</v>
      </c>
      <c r="K60" s="69">
        <f>_xlfn.IFNA(VLOOKUP(TRIM(CONCATENATE(Tableau1[[#This Row],[PRENOM]],Tableau1[[#This Row],[NOM]])),'T7'!$C$5:$E$106,3,FALSE),90)</f>
        <v>90</v>
      </c>
      <c r="L60" s="74">
        <f t="shared" si="4"/>
        <v>606</v>
      </c>
      <c r="M60" s="71">
        <f t="shared" si="5"/>
        <v>90</v>
      </c>
      <c r="N60" s="72">
        <f t="shared" si="6"/>
        <v>90</v>
      </c>
      <c r="O60" s="33">
        <f t="shared" si="7"/>
        <v>426</v>
      </c>
      <c r="P60" s="33">
        <f>RANK(Tableau1[[#This Row],[SCORE
Final 
2025]],Tableau1[SCORE
Final 
2025],1)</f>
        <v>55</v>
      </c>
    </row>
    <row r="61" spans="2:16" ht="20.100000000000001" customHeight="1" x14ac:dyDescent="0.4">
      <c r="B61" s="7" t="s">
        <v>211</v>
      </c>
      <c r="C61" s="15" t="s">
        <v>106</v>
      </c>
      <c r="D61" s="31" t="s">
        <v>13</v>
      </c>
      <c r="E61" s="34">
        <f>_xlfn.IFNA(VLOOKUP(TRIM(CONCATENATE(Tableau1[[#This Row],[PRENOM]],Tableau1[[#This Row],[NOM]])),'T1'!$C$5:$E$106,3,FALSE),90)</f>
        <v>90</v>
      </c>
      <c r="F61" s="34">
        <f>_xlfn.IFNA(VLOOKUP(TRIM(CONCATENATE(Tableau1[[#This Row],[PRENOM]],Tableau1[[#This Row],[NOM]])),'T2'!$C$5:$E$111,3,FALSE),90)</f>
        <v>68</v>
      </c>
      <c r="G61" s="34">
        <f>_xlfn.IFNA(VLOOKUP(TRIM(CONCATENATE(Tableau1[[#This Row],[PRENOM]],Tableau1[[#This Row],[NOM]])),'T3'!$C$5:$E$107,3,FALSE),90)</f>
        <v>90</v>
      </c>
      <c r="H61" s="34">
        <f>_xlfn.IFNA(VLOOKUP(TRIM(CONCATENATE(Tableau1[[#This Row],[PRENOM]],Tableau1[[#This Row],[NOM]])),'T4'!$C$5:$E$108,3,FALSE),90)</f>
        <v>90</v>
      </c>
      <c r="I61" s="185">
        <f>_xlfn.IFNA(VLOOKUP(TRIM(CONCATENATE(Tableau1[[#This Row],[PRENOM]],Tableau1[[#This Row],[NOM]])),'T5'!$C$5:$E$105,3,FALSE),90)</f>
        <v>90</v>
      </c>
      <c r="J61" s="185">
        <f>_xlfn.IFNA(VLOOKUP(TRIM(CONCATENATE(Tableau1[[#This Row],[PRENOM]],Tableau1[[#This Row],[NOM]])),'T6'!$C$5:$E$118,3,FALSE),90)</f>
        <v>90</v>
      </c>
      <c r="K61" s="34">
        <f>_xlfn.IFNA(VLOOKUP(TRIM(CONCATENATE(Tableau1[[#This Row],[PRENOM]],Tableau1[[#This Row],[NOM]])),'T7'!$C$5:$E$106,3,FALSE),90)</f>
        <v>90</v>
      </c>
      <c r="L61" s="36">
        <f t="shared" si="4"/>
        <v>608</v>
      </c>
      <c r="M61" s="38">
        <f t="shared" si="5"/>
        <v>90</v>
      </c>
      <c r="N61" s="39">
        <f t="shared" si="6"/>
        <v>90</v>
      </c>
      <c r="O61" s="33">
        <f t="shared" si="7"/>
        <v>428</v>
      </c>
      <c r="P61" s="33">
        <f>RANK(Tableau1[[#This Row],[SCORE
Final 
2025]],Tableau1[SCORE
Final 
2025],1)</f>
        <v>57</v>
      </c>
    </row>
    <row r="62" spans="2:16" ht="20.100000000000001" customHeight="1" x14ac:dyDescent="0.4">
      <c r="B62" s="7" t="s">
        <v>150</v>
      </c>
      <c r="C62" s="7" t="s">
        <v>151</v>
      </c>
      <c r="D62" s="56" t="s">
        <v>26</v>
      </c>
      <c r="E62" s="34">
        <f>_xlfn.IFNA(VLOOKUP(TRIM(CONCATENATE(Tableau1[[#This Row],[PRENOM]],Tableau1[[#This Row],[NOM]])),'T1'!$C$5:$E$106,3,FALSE),90)</f>
        <v>90</v>
      </c>
      <c r="F62" s="34">
        <f>_xlfn.IFNA(VLOOKUP(TRIM(CONCATENATE(Tableau1[[#This Row],[PRENOM]],Tableau1[[#This Row],[NOM]])),'T2'!$C$5:$E$111,3,FALSE),90)</f>
        <v>90</v>
      </c>
      <c r="G62" s="34">
        <f>_xlfn.IFNA(VLOOKUP(TRIM(CONCATENATE(Tableau1[[#This Row],[PRENOM]],Tableau1[[#This Row],[NOM]])),'T3'!$C$5:$E$107,3,FALSE),90)</f>
        <v>90</v>
      </c>
      <c r="H62" s="34">
        <f>_xlfn.IFNA(VLOOKUP(TRIM(CONCATENATE(Tableau1[[#This Row],[PRENOM]],Tableau1[[#This Row],[NOM]])),'T4'!$C$5:$E$108,3,FALSE),90)</f>
        <v>90</v>
      </c>
      <c r="I62" s="34">
        <f>_xlfn.IFNA(VLOOKUP(TRIM(CONCATENATE(Tableau1[[#This Row],[PRENOM]],Tableau1[[#This Row],[NOM]])),'T5'!$C$5:$E$105,3,FALSE),90)</f>
        <v>80</v>
      </c>
      <c r="J62" s="34">
        <f>_xlfn.IFNA(VLOOKUP(TRIM(CONCATENATE(Tableau1[[#This Row],[PRENOM]],Tableau1[[#This Row],[NOM]])),'T6'!$C$5:$E$118,3,FALSE),90)</f>
        <v>85</v>
      </c>
      <c r="K62" s="34">
        <f>_xlfn.IFNA(VLOOKUP(TRIM(CONCATENATE(Tableau1[[#This Row],[PRENOM]],Tableau1[[#This Row],[NOM]])),'T7'!$C$5:$E$106,3,FALSE),90)</f>
        <v>90</v>
      </c>
      <c r="L62" s="35">
        <f t="shared" si="4"/>
        <v>615</v>
      </c>
      <c r="M62" s="38">
        <f t="shared" si="5"/>
        <v>90</v>
      </c>
      <c r="N62" s="39">
        <f t="shared" si="6"/>
        <v>90</v>
      </c>
      <c r="O62" s="33">
        <f t="shared" si="7"/>
        <v>435</v>
      </c>
      <c r="P62" s="33">
        <f>RANK(Tableau1[[#This Row],[SCORE
Final 
2025]],Tableau1[SCORE
Final 
2025],1)</f>
        <v>58</v>
      </c>
    </row>
    <row r="63" spans="2:16" ht="20.100000000000001" customHeight="1" x14ac:dyDescent="0.4">
      <c r="B63" s="7" t="s">
        <v>246</v>
      </c>
      <c r="C63" s="7" t="s">
        <v>71</v>
      </c>
      <c r="D63" s="29" t="s">
        <v>19</v>
      </c>
      <c r="E63" s="34">
        <f>_xlfn.IFNA(VLOOKUP(TRIM(CONCATENATE(Tableau1[[#This Row],[PRENOM]],Tableau1[[#This Row],[NOM]])),'T1'!$C$5:$E$106,3,FALSE),90)</f>
        <v>90</v>
      </c>
      <c r="F63" s="34">
        <f>_xlfn.IFNA(VLOOKUP(TRIM(CONCATENATE(Tableau1[[#This Row],[PRENOM]],Tableau1[[#This Row],[NOM]])),'T2'!$C$5:$E$111,3,FALSE),90)</f>
        <v>77</v>
      </c>
      <c r="G63" s="34">
        <f>_xlfn.IFNA(VLOOKUP(TRIM(CONCATENATE(Tableau1[[#This Row],[PRENOM]],Tableau1[[#This Row],[NOM]])),'T3'!$C$5:$E$107,3,FALSE),90)</f>
        <v>90</v>
      </c>
      <c r="H63" s="34">
        <f>_xlfn.IFNA(VLOOKUP(TRIM(CONCATENATE(Tableau1[[#This Row],[PRENOM]],Tableau1[[#This Row],[NOM]])),'T4'!$C$5:$E$108,3,FALSE),90)</f>
        <v>90</v>
      </c>
      <c r="I63" s="185">
        <f>_xlfn.IFNA(VLOOKUP(TRIM(CONCATENATE(Tableau1[[#This Row],[PRENOM]],Tableau1[[#This Row],[NOM]])),'T5'!$C$5:$E$105,3,FALSE),90)</f>
        <v>90</v>
      </c>
      <c r="J63" s="185">
        <f>_xlfn.IFNA(VLOOKUP(TRIM(CONCATENATE(Tableau1[[#This Row],[PRENOM]],Tableau1[[#This Row],[NOM]])),'T6'!$C$5:$E$118,3,FALSE),90)</f>
        <v>90</v>
      </c>
      <c r="K63" s="34">
        <f>_xlfn.IFNA(VLOOKUP(TRIM(CONCATENATE(Tableau1[[#This Row],[PRENOM]],Tableau1[[#This Row],[NOM]])),'T7'!$C$5:$E$106,3,FALSE),90)</f>
        <v>90</v>
      </c>
      <c r="L63" s="35">
        <f t="shared" si="4"/>
        <v>617</v>
      </c>
      <c r="M63" s="38">
        <f t="shared" si="5"/>
        <v>90</v>
      </c>
      <c r="N63" s="39">
        <f t="shared" si="6"/>
        <v>90</v>
      </c>
      <c r="O63" s="33">
        <f t="shared" si="7"/>
        <v>437</v>
      </c>
      <c r="P63" s="33">
        <f>RANK(Tableau1[[#This Row],[SCORE
Final 
2025]],Tableau1[SCORE
Final 
2025],1)</f>
        <v>59</v>
      </c>
    </row>
    <row r="64" spans="2:16" ht="20.100000000000001" customHeight="1" x14ac:dyDescent="0.4">
      <c r="B64" s="7" t="s">
        <v>226</v>
      </c>
      <c r="C64" s="7" t="s">
        <v>18</v>
      </c>
      <c r="D64" s="29" t="s">
        <v>19</v>
      </c>
      <c r="E64" s="34">
        <f>_xlfn.IFNA(VLOOKUP(TRIM(CONCATENATE(Tableau1[[#This Row],[PRENOM]],Tableau1[[#This Row],[NOM]])),'T1'!$C$5:$E$106,3,FALSE),90)</f>
        <v>90</v>
      </c>
      <c r="F64" s="34">
        <f>_xlfn.IFNA(VLOOKUP(TRIM(CONCATENATE(Tableau1[[#This Row],[PRENOM]],Tableau1[[#This Row],[NOM]])),'T2'!$C$5:$E$111,3,FALSE),90)</f>
        <v>88</v>
      </c>
      <c r="G64" s="34">
        <f>_xlfn.IFNA(VLOOKUP(TRIM(CONCATENATE(Tableau1[[#This Row],[PRENOM]],Tableau1[[#This Row],[NOM]])),'T3'!$C$5:$E$107,3,FALSE),90)</f>
        <v>90</v>
      </c>
      <c r="H64" s="34">
        <f>_xlfn.IFNA(VLOOKUP(TRIM(CONCATENATE(Tableau1[[#This Row],[PRENOM]],Tableau1[[#This Row],[NOM]])),'T4'!$C$5:$E$108,3,FALSE),90)</f>
        <v>90</v>
      </c>
      <c r="I64" s="185">
        <f>_xlfn.IFNA(VLOOKUP(TRIM(CONCATENATE(Tableau1[[#This Row],[PRENOM]],Tableau1[[#This Row],[NOM]])),'T5'!$C$5:$E$105,3,FALSE),90)</f>
        <v>90</v>
      </c>
      <c r="J64" s="185">
        <f>_xlfn.IFNA(VLOOKUP(TRIM(CONCATENATE(Tableau1[[#This Row],[PRENOM]],Tableau1[[#This Row],[NOM]])),'T6'!$C$5:$E$118,3,FALSE),90)</f>
        <v>90</v>
      </c>
      <c r="K64" s="34">
        <f>_xlfn.IFNA(VLOOKUP(TRIM(CONCATENATE(Tableau1[[#This Row],[PRENOM]],Tableau1[[#This Row],[NOM]])),'T7'!$C$5:$E$106,3,FALSE),90)</f>
        <v>90</v>
      </c>
      <c r="L64" s="35">
        <f t="shared" si="4"/>
        <v>628</v>
      </c>
      <c r="M64" s="38">
        <f t="shared" si="5"/>
        <v>90</v>
      </c>
      <c r="N64" s="39">
        <f t="shared" si="6"/>
        <v>90</v>
      </c>
      <c r="O64" s="33">
        <f t="shared" si="7"/>
        <v>448</v>
      </c>
      <c r="P64" s="33">
        <f>RANK(Tableau1[[#This Row],[SCORE
Final 
2025]],Tableau1[SCORE
Final 
2025],1)</f>
        <v>60</v>
      </c>
    </row>
    <row r="65" spans="2:16" ht="20.100000000000001" customHeight="1" x14ac:dyDescent="0.4">
      <c r="B65" s="7" t="s">
        <v>27</v>
      </c>
      <c r="C65" s="7" t="s">
        <v>28</v>
      </c>
      <c r="D65" s="29" t="s">
        <v>19</v>
      </c>
      <c r="E65" s="34">
        <f>_xlfn.IFNA(VLOOKUP(TRIM(CONCATENATE(Tableau1[[#This Row],[PRENOM]],Tableau1[[#This Row],[NOM]])),'T1'!$C$5:$E$106,3,FALSE),90)</f>
        <v>90</v>
      </c>
      <c r="F65" s="34">
        <f>_xlfn.IFNA(VLOOKUP(TRIM(CONCATENATE(Tableau1[[#This Row],[PRENOM]],Tableau1[[#This Row],[NOM]])),'T2'!$C$5:$E$111,3,FALSE),90)</f>
        <v>90</v>
      </c>
      <c r="G65" s="34">
        <f>_xlfn.IFNA(VLOOKUP(TRIM(CONCATENATE(Tableau1[[#This Row],[PRENOM]],Tableau1[[#This Row],[NOM]])),'T3'!$C$5:$E$107,3,FALSE),90)</f>
        <v>90</v>
      </c>
      <c r="H65" s="34">
        <f>_xlfn.IFNA(VLOOKUP(TRIM(CONCATENATE(Tableau1[[#This Row],[PRENOM]],Tableau1[[#This Row],[NOM]])),'T4'!$C$5:$E$108,3,FALSE),90)</f>
        <v>90</v>
      </c>
      <c r="I65" s="34">
        <f>_xlfn.IFNA(VLOOKUP(TRIM(CONCATENATE(Tableau1[[#This Row],[PRENOM]],Tableau1[[#This Row],[NOM]])),'T5'!$C$5:$E$105,3,FALSE),90)</f>
        <v>90</v>
      </c>
      <c r="J65" s="34">
        <f>_xlfn.IFNA(VLOOKUP(TRIM(CONCATENATE(Tableau1[[#This Row],[PRENOM]],Tableau1[[#This Row],[NOM]])),'T6'!$C$5:$E$118,3,FALSE),90)</f>
        <v>90</v>
      </c>
      <c r="K65" s="34">
        <f>_xlfn.IFNA(VLOOKUP(TRIM(CONCATENATE(Tableau1[[#This Row],[PRENOM]],Tableau1[[#This Row],[NOM]])),'T7'!$C$5:$E$106,3,FALSE),90)</f>
        <v>90</v>
      </c>
      <c r="L65" s="35">
        <f t="shared" si="4"/>
        <v>630</v>
      </c>
      <c r="M65" s="38">
        <f t="shared" si="5"/>
        <v>90</v>
      </c>
      <c r="N65" s="39">
        <f t="shared" si="6"/>
        <v>90</v>
      </c>
      <c r="O65" s="33">
        <f t="shared" si="7"/>
        <v>450</v>
      </c>
      <c r="P65" s="33">
        <f>RANK(Tableau1[[#This Row],[SCORE
Final 
2025]],Tableau1[SCORE
Final 
2025],1)</f>
        <v>61</v>
      </c>
    </row>
    <row r="66" spans="2:16" ht="20.100000000000001" customHeight="1" x14ac:dyDescent="0.4">
      <c r="B66" s="7" t="s">
        <v>91</v>
      </c>
      <c r="C66" s="15" t="s">
        <v>43</v>
      </c>
      <c r="D66" s="37" t="s">
        <v>129</v>
      </c>
      <c r="E66" s="69">
        <f>_xlfn.IFNA(VLOOKUP(TRIM(CONCATENATE(Tableau1[[#This Row],[PRENOM]],Tableau1[[#This Row],[NOM]])),'T1'!$C$5:$E$106,3,FALSE),90)</f>
        <v>90</v>
      </c>
      <c r="F66" s="34">
        <f>_xlfn.IFNA(VLOOKUP(TRIM(CONCATENATE(Tableau1[[#This Row],[PRENOM]],Tableau1[[#This Row],[NOM]])),'T2'!$C$5:$E$111,3,FALSE),90)</f>
        <v>90</v>
      </c>
      <c r="G66" s="69">
        <f>_xlfn.IFNA(VLOOKUP(TRIM(CONCATENATE(Tableau1[[#This Row],[PRENOM]],Tableau1[[#This Row],[NOM]])),'T3'!$C$5:$E$107,3,FALSE),90)</f>
        <v>90</v>
      </c>
      <c r="H66" s="69">
        <f>_xlfn.IFNA(VLOOKUP(TRIM(CONCATENATE(Tableau1[[#This Row],[PRENOM]],Tableau1[[#This Row],[NOM]])),'T4'!$C$5:$E$108,3,FALSE),90)</f>
        <v>90</v>
      </c>
      <c r="I66" s="69">
        <f>_xlfn.IFNA(VLOOKUP(TRIM(CONCATENATE(Tableau1[[#This Row],[PRENOM]],Tableau1[[#This Row],[NOM]])),'T5'!$C$5:$E$105,3,FALSE),90)</f>
        <v>90</v>
      </c>
      <c r="J66" s="69">
        <f>_xlfn.IFNA(VLOOKUP(TRIM(CONCATENATE(Tableau1[[#This Row],[PRENOM]],Tableau1[[#This Row],[NOM]])),'T6'!$C$5:$E$118,3,FALSE),90)</f>
        <v>90</v>
      </c>
      <c r="K66" s="69">
        <f>_xlfn.IFNA(VLOOKUP(TRIM(CONCATENATE(Tableau1[[#This Row],[PRENOM]],Tableau1[[#This Row],[NOM]])),'T7'!$C$5:$E$106,3,FALSE),90)</f>
        <v>90</v>
      </c>
      <c r="L66" s="74">
        <f t="shared" si="4"/>
        <v>630</v>
      </c>
      <c r="M66" s="71">
        <f t="shared" si="5"/>
        <v>90</v>
      </c>
      <c r="N66" s="72">
        <f t="shared" si="6"/>
        <v>90</v>
      </c>
      <c r="O66" s="33">
        <f t="shared" si="7"/>
        <v>450</v>
      </c>
      <c r="P66" s="33">
        <f>RANK(Tableau1[[#This Row],[SCORE
Final 
2025]],Tableau1[SCORE
Final 
2025],1)</f>
        <v>61</v>
      </c>
    </row>
    <row r="67" spans="2:16" ht="20.100000000000001" customHeight="1" x14ac:dyDescent="0.4">
      <c r="B67" s="7" t="s">
        <v>134</v>
      </c>
      <c r="C67" s="7" t="s">
        <v>85</v>
      </c>
      <c r="D67" s="31" t="s">
        <v>13</v>
      </c>
      <c r="E67" s="34">
        <f>_xlfn.IFNA(VLOOKUP(TRIM(CONCATENATE(Tableau1[[#This Row],[PRENOM]],Tableau1[[#This Row],[NOM]])),'T1'!$C$5:$E$106,3,FALSE),90)</f>
        <v>90</v>
      </c>
      <c r="F67" s="34">
        <f>_xlfn.IFNA(VLOOKUP(TRIM(CONCATENATE(Tableau1[[#This Row],[PRENOM]],Tableau1[[#This Row],[NOM]])),'T2'!$C$5:$E$111,3,FALSE),90)</f>
        <v>90</v>
      </c>
      <c r="G67" s="34">
        <f>_xlfn.IFNA(VLOOKUP(TRIM(CONCATENATE(Tableau1[[#This Row],[PRENOM]],Tableau1[[#This Row],[NOM]])),'T3'!$C$5:$E$107,3,FALSE),90)</f>
        <v>90</v>
      </c>
      <c r="H67" s="34">
        <f>_xlfn.IFNA(VLOOKUP(TRIM(CONCATENATE(Tableau1[[#This Row],[PRENOM]],Tableau1[[#This Row],[NOM]])),'T4'!$C$5:$E$108,3,FALSE),90)</f>
        <v>90</v>
      </c>
      <c r="I67" s="34">
        <f>_xlfn.IFNA(VLOOKUP(TRIM(CONCATENATE(Tableau1[[#This Row],[PRENOM]],Tableau1[[#This Row],[NOM]])),'T5'!$C$5:$E$105,3,FALSE),90)</f>
        <v>90</v>
      </c>
      <c r="J67" s="34">
        <f>_xlfn.IFNA(VLOOKUP(TRIM(CONCATENATE(Tableau1[[#This Row],[PRENOM]],Tableau1[[#This Row],[NOM]])),'T6'!$C$5:$E$118,3,FALSE),90)</f>
        <v>90</v>
      </c>
      <c r="K67" s="34">
        <f>_xlfn.IFNA(VLOOKUP(TRIM(CONCATENATE(Tableau1[[#This Row],[PRENOM]],Tableau1[[#This Row],[NOM]])),'T7'!$C$5:$E$106,3,FALSE),90)</f>
        <v>90</v>
      </c>
      <c r="L67" s="35">
        <f t="shared" si="4"/>
        <v>630</v>
      </c>
      <c r="M67" s="38">
        <f t="shared" si="5"/>
        <v>90</v>
      </c>
      <c r="N67" s="39">
        <f t="shared" si="6"/>
        <v>90</v>
      </c>
      <c r="O67" s="33">
        <f t="shared" si="7"/>
        <v>450</v>
      </c>
      <c r="P67" s="33">
        <f>RANK(Tableau1[[#This Row],[SCORE
Final 
2025]],Tableau1[SCORE
Final 
2025],1)</f>
        <v>61</v>
      </c>
    </row>
    <row r="68" spans="2:16" ht="20.100000000000001" customHeight="1" x14ac:dyDescent="0.4">
      <c r="B68" s="165" t="s">
        <v>241</v>
      </c>
      <c r="C68" s="165" t="s">
        <v>236</v>
      </c>
      <c r="D68" s="29" t="s">
        <v>19</v>
      </c>
      <c r="E68" s="166">
        <f>_xlfn.IFNA(VLOOKUP(TRIM(CONCATENATE(Tableau1[[#This Row],[PRENOM]],Tableau1[[#This Row],[NOM]])),'T1'!$C$5:$E$106,3,FALSE),90)</f>
        <v>90</v>
      </c>
      <c r="F68" s="34">
        <f>_xlfn.IFNA(VLOOKUP(TRIM(CONCATENATE(Tableau1[[#This Row],[PRENOM]],Tableau1[[#This Row],[NOM]])),'T2'!$C$5:$E$111,3,FALSE),90)</f>
        <v>90</v>
      </c>
      <c r="G68" s="166">
        <f>_xlfn.IFNA(VLOOKUP(TRIM(CONCATENATE(Tableau1[[#This Row],[PRENOM]],Tableau1[[#This Row],[NOM]])),'T3'!$C$5:$E$107,3,FALSE),90)</f>
        <v>90</v>
      </c>
      <c r="H68" s="166">
        <f>_xlfn.IFNA(VLOOKUP(TRIM(CONCATENATE(Tableau1[[#This Row],[PRENOM]],Tableau1[[#This Row],[NOM]])),'T4'!$C$5:$E$108,3,FALSE),90)</f>
        <v>90</v>
      </c>
      <c r="I68" s="167">
        <f>_xlfn.IFNA(VLOOKUP(TRIM(CONCATENATE(Tableau1[[#This Row],[PRENOM]],Tableau1[[#This Row],[NOM]])),'T5'!$C$5:$E$105,3,FALSE),90)</f>
        <v>90</v>
      </c>
      <c r="J68" s="167">
        <f>_xlfn.IFNA(VLOOKUP(TRIM(CONCATENATE(Tableau1[[#This Row],[PRENOM]],Tableau1[[#This Row],[NOM]])),'T6'!$C$5:$E$118,3,FALSE),90)</f>
        <v>90</v>
      </c>
      <c r="K68" s="166">
        <f>_xlfn.IFNA(VLOOKUP(TRIM(CONCATENATE(Tableau1[[#This Row],[PRENOM]],Tableau1[[#This Row],[NOM]])),'T7'!$C$5:$E$106,3,FALSE),90)</f>
        <v>90</v>
      </c>
      <c r="L68" s="168">
        <f t="shared" si="4"/>
        <v>630</v>
      </c>
      <c r="M68" s="169">
        <f t="shared" si="5"/>
        <v>90</v>
      </c>
      <c r="N68" s="170">
        <f t="shared" si="6"/>
        <v>90</v>
      </c>
      <c r="O68" s="164">
        <f t="shared" si="7"/>
        <v>450</v>
      </c>
      <c r="P68" s="164">
        <f>RANK(Tableau1[[#This Row],[SCORE
Final 
2025]],Tableau1[SCORE
Final 
2025],1)</f>
        <v>61</v>
      </c>
    </row>
    <row r="69" spans="2:16" ht="20.100000000000001" customHeight="1" x14ac:dyDescent="0.4">
      <c r="B69" s="7" t="s">
        <v>125</v>
      </c>
      <c r="C69" s="7" t="s">
        <v>126</v>
      </c>
      <c r="D69" s="30" t="s">
        <v>8</v>
      </c>
      <c r="E69" s="34">
        <f>_xlfn.IFNA(VLOOKUP(TRIM(CONCATENATE(Tableau1[[#This Row],[PRENOM]],Tableau1[[#This Row],[NOM]])),'T1'!$C$5:$E$106,3,FALSE),90)</f>
        <v>90</v>
      </c>
      <c r="F69" s="34">
        <f>_xlfn.IFNA(VLOOKUP(TRIM(CONCATENATE(Tableau1[[#This Row],[PRENOM]],Tableau1[[#This Row],[NOM]])),'T2'!$C$5:$E$111,3,FALSE),90)</f>
        <v>90</v>
      </c>
      <c r="G69" s="34">
        <f>_xlfn.IFNA(VLOOKUP(TRIM(CONCATENATE(Tableau1[[#This Row],[PRENOM]],Tableau1[[#This Row],[NOM]])),'T3'!$C$5:$E$107,3,FALSE),90)</f>
        <v>90</v>
      </c>
      <c r="H69" s="34">
        <f>_xlfn.IFNA(VLOOKUP(TRIM(CONCATENATE(Tableau1[[#This Row],[PRENOM]],Tableau1[[#This Row],[NOM]])),'T4'!$C$5:$E$108,3,FALSE),90)</f>
        <v>90</v>
      </c>
      <c r="I69" s="34">
        <f>_xlfn.IFNA(VLOOKUP(TRIM(CONCATENATE(Tableau1[[#This Row],[PRENOM]],Tableau1[[#This Row],[NOM]])),'T5'!$C$5:$E$105,3,FALSE),90)</f>
        <v>90</v>
      </c>
      <c r="J69" s="34">
        <f>_xlfn.IFNA(VLOOKUP(TRIM(CONCATENATE(Tableau1[[#This Row],[PRENOM]],Tableau1[[#This Row],[NOM]])),'T6'!$C$5:$E$118,3,FALSE),90)</f>
        <v>90</v>
      </c>
      <c r="K69" s="34">
        <f>_xlfn.IFNA(VLOOKUP(TRIM(CONCATENATE(Tableau1[[#This Row],[PRENOM]],Tableau1[[#This Row],[NOM]])),'T7'!$C$5:$E$106,3,FALSE),90)</f>
        <v>90</v>
      </c>
      <c r="L69" s="35">
        <f t="shared" ref="L69:L81" si="8">SUM(E69:K69)</f>
        <v>630</v>
      </c>
      <c r="M69" s="38">
        <f t="shared" ref="M69:M81" si="9">LARGE(E69:K69,1)</f>
        <v>90</v>
      </c>
      <c r="N69" s="39">
        <f t="shared" ref="N69:N81" si="10">LARGE(E69:K69,2)</f>
        <v>90</v>
      </c>
      <c r="O69" s="33">
        <f t="shared" ref="O69:O81" si="11">L69-M69-N69</f>
        <v>450</v>
      </c>
      <c r="P69" s="33">
        <f>RANK(Tableau1[[#This Row],[SCORE
Final 
2025]],Tableau1[SCORE
Final 
2025],1)</f>
        <v>61</v>
      </c>
    </row>
    <row r="70" spans="2:16" ht="20.100000000000001" customHeight="1" x14ac:dyDescent="0.4">
      <c r="B70" s="7" t="s">
        <v>155</v>
      </c>
      <c r="C70" s="7" t="s">
        <v>156</v>
      </c>
      <c r="D70" s="32" t="s">
        <v>74</v>
      </c>
      <c r="E70" s="34">
        <f>_xlfn.IFNA(VLOOKUP(TRIM(CONCATENATE(Tableau1[[#This Row],[PRENOM]],Tableau1[[#This Row],[NOM]])),'T1'!$C$5:$E$106,3,FALSE),90)</f>
        <v>90</v>
      </c>
      <c r="F70" s="34">
        <f>_xlfn.IFNA(VLOOKUP(TRIM(CONCATENATE(Tableau1[[#This Row],[PRENOM]],Tableau1[[#This Row],[NOM]])),'T2'!$C$5:$E$111,3,FALSE),90)</f>
        <v>90</v>
      </c>
      <c r="G70" s="34">
        <f>_xlfn.IFNA(VLOOKUP(TRIM(CONCATENATE(Tableau1[[#This Row],[PRENOM]],Tableau1[[#This Row],[NOM]])),'T3'!$C$5:$E$107,3,FALSE),90)</f>
        <v>90</v>
      </c>
      <c r="H70" s="34">
        <f>_xlfn.IFNA(VLOOKUP(TRIM(CONCATENATE(Tableau1[[#This Row],[PRENOM]],Tableau1[[#This Row],[NOM]])),'T4'!$C$5:$E$108,3,FALSE),90)</f>
        <v>90</v>
      </c>
      <c r="I70" s="34">
        <f>_xlfn.IFNA(VLOOKUP(TRIM(CONCATENATE(Tableau1[[#This Row],[PRENOM]],Tableau1[[#This Row],[NOM]])),'T5'!$C$5:$E$105,3,FALSE),90)</f>
        <v>90</v>
      </c>
      <c r="J70" s="34">
        <f>_xlfn.IFNA(VLOOKUP(TRIM(CONCATENATE(Tableau1[[#This Row],[PRENOM]],Tableau1[[#This Row],[NOM]])),'T6'!$C$5:$E$118,3,FALSE),90)</f>
        <v>90</v>
      </c>
      <c r="K70" s="34">
        <f>_xlfn.IFNA(VLOOKUP(TRIM(CONCATENATE(Tableau1[[#This Row],[PRENOM]],Tableau1[[#This Row],[NOM]])),'T7'!$C$5:$E$106,3,FALSE),90)</f>
        <v>90</v>
      </c>
      <c r="L70" s="35">
        <f t="shared" si="8"/>
        <v>630</v>
      </c>
      <c r="M70" s="38">
        <f t="shared" si="9"/>
        <v>90</v>
      </c>
      <c r="N70" s="39">
        <f t="shared" si="10"/>
        <v>90</v>
      </c>
      <c r="O70" s="33">
        <f t="shared" si="11"/>
        <v>450</v>
      </c>
      <c r="P70" s="33">
        <f>RANK(Tableau1[[#This Row],[SCORE
Final 
2025]],Tableau1[SCORE
Final 
2025],1)</f>
        <v>61</v>
      </c>
    </row>
    <row r="71" spans="2:16" ht="20.100000000000001" customHeight="1" x14ac:dyDescent="0.4">
      <c r="B71" s="7" t="s">
        <v>64</v>
      </c>
      <c r="C71" s="7" t="s">
        <v>10</v>
      </c>
      <c r="D71" s="37" t="s">
        <v>129</v>
      </c>
      <c r="E71" s="34">
        <f>_xlfn.IFNA(VLOOKUP(TRIM(CONCATENATE(Tableau1[[#This Row],[PRENOM]],Tableau1[[#This Row],[NOM]])),'T1'!$C$5:$E$106,3,FALSE),90)</f>
        <v>90</v>
      </c>
      <c r="F71" s="34">
        <f>_xlfn.IFNA(VLOOKUP(TRIM(CONCATENATE(Tableau1[[#This Row],[PRENOM]],Tableau1[[#This Row],[NOM]])),'T2'!$C$5:$E$111,3,FALSE),90)</f>
        <v>90</v>
      </c>
      <c r="G71" s="34">
        <f>_xlfn.IFNA(VLOOKUP(TRIM(CONCATENATE(Tableau1[[#This Row],[PRENOM]],Tableau1[[#This Row],[NOM]])),'T3'!$C$5:$E$107,3,FALSE),90)</f>
        <v>90</v>
      </c>
      <c r="H71" s="34">
        <f>_xlfn.IFNA(VLOOKUP(TRIM(CONCATENATE(Tableau1[[#This Row],[PRENOM]],Tableau1[[#This Row],[NOM]])),'T4'!$C$5:$E$108,3,FALSE),90)</f>
        <v>90</v>
      </c>
      <c r="I71" s="34">
        <f>_xlfn.IFNA(VLOOKUP(TRIM(CONCATENATE(Tableau1[[#This Row],[PRENOM]],Tableau1[[#This Row],[NOM]])),'T5'!$C$5:$E$105,3,FALSE),90)</f>
        <v>90</v>
      </c>
      <c r="J71" s="34">
        <f>_xlfn.IFNA(VLOOKUP(TRIM(CONCATENATE(Tableau1[[#This Row],[PRENOM]],Tableau1[[#This Row],[NOM]])),'T6'!$C$5:$E$118,3,FALSE),90)</f>
        <v>90</v>
      </c>
      <c r="K71" s="34">
        <f>_xlfn.IFNA(VLOOKUP(TRIM(CONCATENATE(Tableau1[[#This Row],[PRENOM]],Tableau1[[#This Row],[NOM]])),'T7'!$C$5:$E$106,3,FALSE),90)</f>
        <v>90</v>
      </c>
      <c r="L71" s="35">
        <f t="shared" si="8"/>
        <v>630</v>
      </c>
      <c r="M71" s="38">
        <f t="shared" si="9"/>
        <v>90</v>
      </c>
      <c r="N71" s="39">
        <f t="shared" si="10"/>
        <v>90</v>
      </c>
      <c r="O71" s="33">
        <f t="shared" si="11"/>
        <v>450</v>
      </c>
      <c r="P71" s="33">
        <f>RANK(Tableau1[[#This Row],[SCORE
Final 
2025]],Tableau1[SCORE
Final 
2025],1)</f>
        <v>61</v>
      </c>
    </row>
    <row r="72" spans="2:16" ht="20.100000000000001" customHeight="1" x14ac:dyDescent="0.4">
      <c r="B72" s="7" t="s">
        <v>153</v>
      </c>
      <c r="C72" s="7" t="s">
        <v>154</v>
      </c>
      <c r="D72" s="29" t="s">
        <v>19</v>
      </c>
      <c r="E72" s="34">
        <f>_xlfn.IFNA(VLOOKUP(TRIM(CONCATENATE(Tableau1[[#This Row],[PRENOM]],Tableau1[[#This Row],[NOM]])),'T1'!$C$5:$E$106,3,FALSE),90)</f>
        <v>90</v>
      </c>
      <c r="F72" s="34">
        <f>_xlfn.IFNA(VLOOKUP(TRIM(CONCATENATE(Tableau1[[#This Row],[PRENOM]],Tableau1[[#This Row],[NOM]])),'T2'!$C$5:$E$111,3,FALSE),90)</f>
        <v>90</v>
      </c>
      <c r="G72" s="34">
        <f>_xlfn.IFNA(VLOOKUP(TRIM(CONCATENATE(Tableau1[[#This Row],[PRENOM]],Tableau1[[#This Row],[NOM]])),'T3'!$C$5:$E$107,3,FALSE),90)</f>
        <v>90</v>
      </c>
      <c r="H72" s="34">
        <f>_xlfn.IFNA(VLOOKUP(TRIM(CONCATENATE(Tableau1[[#This Row],[PRENOM]],Tableau1[[#This Row],[NOM]])),'T4'!$C$5:$E$108,3,FALSE),90)</f>
        <v>90</v>
      </c>
      <c r="I72" s="34">
        <f>_xlfn.IFNA(VLOOKUP(TRIM(CONCATENATE(Tableau1[[#This Row],[PRENOM]],Tableau1[[#This Row],[NOM]])),'T5'!$C$5:$E$105,3,FALSE),90)</f>
        <v>90</v>
      </c>
      <c r="J72" s="34">
        <f>_xlfn.IFNA(VLOOKUP(TRIM(CONCATENATE(Tableau1[[#This Row],[PRENOM]],Tableau1[[#This Row],[NOM]])),'T6'!$C$5:$E$118,3,FALSE),90)</f>
        <v>90</v>
      </c>
      <c r="K72" s="34">
        <f>_xlfn.IFNA(VLOOKUP(TRIM(CONCATENATE(Tableau1[[#This Row],[PRENOM]],Tableau1[[#This Row],[NOM]])),'T7'!$C$5:$E$106,3,FALSE),90)</f>
        <v>90</v>
      </c>
      <c r="L72" s="35">
        <f t="shared" si="8"/>
        <v>630</v>
      </c>
      <c r="M72" s="38">
        <f t="shared" si="9"/>
        <v>90</v>
      </c>
      <c r="N72" s="39">
        <f t="shared" si="10"/>
        <v>90</v>
      </c>
      <c r="O72" s="33">
        <f t="shared" si="11"/>
        <v>450</v>
      </c>
      <c r="P72" s="33">
        <f>RANK(Tableau1[[#This Row],[SCORE
Final 
2025]],Tableau1[SCORE
Final 
2025],1)</f>
        <v>61</v>
      </c>
    </row>
    <row r="73" spans="2:16" ht="20.100000000000001" customHeight="1" x14ac:dyDescent="0.4">
      <c r="B73" s="7" t="s">
        <v>131</v>
      </c>
      <c r="C73" s="7" t="s">
        <v>132</v>
      </c>
      <c r="D73" s="26" t="s">
        <v>130</v>
      </c>
      <c r="E73" s="34">
        <f>_xlfn.IFNA(VLOOKUP(TRIM(CONCATENATE(Tableau1[[#This Row],[PRENOM]],Tableau1[[#This Row],[NOM]])),'T1'!$C$5:$E$106,3,FALSE),90)</f>
        <v>90</v>
      </c>
      <c r="F73" s="34">
        <f>_xlfn.IFNA(VLOOKUP(TRIM(CONCATENATE(Tableau1[[#This Row],[PRENOM]],Tableau1[[#This Row],[NOM]])),'T2'!$C$5:$E$111,3,FALSE),90)</f>
        <v>90</v>
      </c>
      <c r="G73" s="34">
        <f>_xlfn.IFNA(VLOOKUP(TRIM(CONCATENATE(Tableau1[[#This Row],[PRENOM]],Tableau1[[#This Row],[NOM]])),'T3'!$C$5:$E$107,3,FALSE),90)</f>
        <v>90</v>
      </c>
      <c r="H73" s="34">
        <f>_xlfn.IFNA(VLOOKUP(TRIM(CONCATENATE(Tableau1[[#This Row],[PRENOM]],Tableau1[[#This Row],[NOM]])),'T4'!$C$5:$E$108,3,FALSE),90)</f>
        <v>90</v>
      </c>
      <c r="I73" s="34">
        <f>_xlfn.IFNA(VLOOKUP(TRIM(CONCATENATE(Tableau1[[#This Row],[PRENOM]],Tableau1[[#This Row],[NOM]])),'T5'!$C$5:$E$105,3,FALSE),90)</f>
        <v>90</v>
      </c>
      <c r="J73" s="34">
        <f>_xlfn.IFNA(VLOOKUP(TRIM(CONCATENATE(Tableau1[[#This Row],[PRENOM]],Tableau1[[#This Row],[NOM]])),'T6'!$C$5:$E$118,3,FALSE),90)</f>
        <v>90</v>
      </c>
      <c r="K73" s="34">
        <f>_xlfn.IFNA(VLOOKUP(TRIM(CONCATENATE(Tableau1[[#This Row],[PRENOM]],Tableau1[[#This Row],[NOM]])),'T7'!$C$5:$E$106,3,FALSE),90)</f>
        <v>90</v>
      </c>
      <c r="L73" s="35">
        <f t="shared" si="8"/>
        <v>630</v>
      </c>
      <c r="M73" s="38">
        <f t="shared" si="9"/>
        <v>90</v>
      </c>
      <c r="N73" s="39">
        <f t="shared" si="10"/>
        <v>90</v>
      </c>
      <c r="O73" s="33">
        <f t="shared" si="11"/>
        <v>450</v>
      </c>
      <c r="P73" s="33">
        <f>RANK(Tableau1[[#This Row],[SCORE
Final 
2025]],Tableau1[SCORE
Final 
2025],1)</f>
        <v>61</v>
      </c>
    </row>
    <row r="74" spans="2:16" ht="20.100000000000001" customHeight="1" x14ac:dyDescent="0.4">
      <c r="B74" s="7" t="s">
        <v>100</v>
      </c>
      <c r="C74" s="7" t="s">
        <v>47</v>
      </c>
      <c r="D74" s="32" t="s">
        <v>74</v>
      </c>
      <c r="E74" s="34">
        <f>_xlfn.IFNA(VLOOKUP(TRIM(CONCATENATE(Tableau1[[#This Row],[PRENOM]],Tableau1[[#This Row],[NOM]])),'T1'!$C$5:$E$106,3,FALSE),90)</f>
        <v>90</v>
      </c>
      <c r="F74" s="34">
        <f>_xlfn.IFNA(VLOOKUP(TRIM(CONCATENATE(Tableau1[[#This Row],[PRENOM]],Tableau1[[#This Row],[NOM]])),'T2'!$C$5:$E$111,3,FALSE),90)</f>
        <v>90</v>
      </c>
      <c r="G74" s="34">
        <f>_xlfn.IFNA(VLOOKUP(TRIM(CONCATENATE(Tableau1[[#This Row],[PRENOM]],Tableau1[[#This Row],[NOM]])),'T3'!$C$5:$E$107,3,FALSE),90)</f>
        <v>90</v>
      </c>
      <c r="H74" s="34">
        <f>_xlfn.IFNA(VLOOKUP(TRIM(CONCATENATE(Tableau1[[#This Row],[PRENOM]],Tableau1[[#This Row],[NOM]])),'T4'!$C$5:$E$108,3,FALSE),90)</f>
        <v>90</v>
      </c>
      <c r="I74" s="34">
        <f>_xlfn.IFNA(VLOOKUP(TRIM(CONCATENATE(Tableau1[[#This Row],[PRENOM]],Tableau1[[#This Row],[NOM]])),'T5'!$C$5:$E$105,3,FALSE),90)</f>
        <v>90</v>
      </c>
      <c r="J74" s="34">
        <f>_xlfn.IFNA(VLOOKUP(TRIM(CONCATENATE(Tableau1[[#This Row],[PRENOM]],Tableau1[[#This Row],[NOM]])),'T6'!$C$5:$E$118,3,FALSE),90)</f>
        <v>90</v>
      </c>
      <c r="K74" s="34">
        <f>_xlfn.IFNA(VLOOKUP(TRIM(CONCATENATE(Tableau1[[#This Row],[PRENOM]],Tableau1[[#This Row],[NOM]])),'T7'!$C$5:$E$106,3,FALSE),90)</f>
        <v>90</v>
      </c>
      <c r="L74" s="35">
        <f t="shared" si="8"/>
        <v>630</v>
      </c>
      <c r="M74" s="38">
        <f t="shared" si="9"/>
        <v>90</v>
      </c>
      <c r="N74" s="39">
        <f t="shared" si="10"/>
        <v>90</v>
      </c>
      <c r="O74" s="33">
        <f t="shared" si="11"/>
        <v>450</v>
      </c>
      <c r="P74" s="33">
        <f>RANK(Tableau1[[#This Row],[SCORE
Final 
2025]],Tableau1[SCORE
Final 
2025],1)</f>
        <v>61</v>
      </c>
    </row>
    <row r="75" spans="2:16" ht="20.100000000000001" customHeight="1" x14ac:dyDescent="0.4">
      <c r="B75" s="7" t="s">
        <v>40</v>
      </c>
      <c r="C75" s="7" t="s">
        <v>16</v>
      </c>
      <c r="D75" s="29" t="s">
        <v>19</v>
      </c>
      <c r="E75" s="34">
        <f>_xlfn.IFNA(VLOOKUP(TRIM(CONCATENATE(Tableau1[[#This Row],[PRENOM]],Tableau1[[#This Row],[NOM]])),'T1'!$C$5:$E$106,3,FALSE),90)</f>
        <v>90</v>
      </c>
      <c r="F75" s="34">
        <f>_xlfn.IFNA(VLOOKUP(TRIM(CONCATENATE(Tableau1[[#This Row],[PRENOM]],Tableau1[[#This Row],[NOM]])),'T2'!$C$5:$E$111,3,FALSE),90)</f>
        <v>90</v>
      </c>
      <c r="G75" s="34">
        <f>_xlfn.IFNA(VLOOKUP(TRIM(CONCATENATE(Tableau1[[#This Row],[PRENOM]],Tableau1[[#This Row],[NOM]])),'T3'!$C$5:$E$107,3,FALSE),90)</f>
        <v>90</v>
      </c>
      <c r="H75" s="34">
        <f>_xlfn.IFNA(VLOOKUP(TRIM(CONCATENATE(Tableau1[[#This Row],[PRENOM]],Tableau1[[#This Row],[NOM]])),'T4'!$C$5:$E$108,3,FALSE),90)</f>
        <v>90</v>
      </c>
      <c r="I75" s="34">
        <f>_xlfn.IFNA(VLOOKUP(TRIM(CONCATENATE(Tableau1[[#This Row],[PRENOM]],Tableau1[[#This Row],[NOM]])),'T5'!$C$5:$E$105,3,FALSE),90)</f>
        <v>90</v>
      </c>
      <c r="J75" s="34">
        <f>_xlfn.IFNA(VLOOKUP(TRIM(CONCATENATE(Tableau1[[#This Row],[PRENOM]],Tableau1[[#This Row],[NOM]])),'T6'!$C$5:$E$118,3,FALSE),90)</f>
        <v>90</v>
      </c>
      <c r="K75" s="34">
        <f>_xlfn.IFNA(VLOOKUP(TRIM(CONCATENATE(Tableau1[[#This Row],[PRENOM]],Tableau1[[#This Row],[NOM]])),'T7'!$C$5:$E$106,3,FALSE),90)</f>
        <v>90</v>
      </c>
      <c r="L75" s="35">
        <f t="shared" si="8"/>
        <v>630</v>
      </c>
      <c r="M75" s="38">
        <f t="shared" si="9"/>
        <v>90</v>
      </c>
      <c r="N75" s="39">
        <f t="shared" si="10"/>
        <v>90</v>
      </c>
      <c r="O75" s="33">
        <f t="shared" si="11"/>
        <v>450</v>
      </c>
      <c r="P75" s="33">
        <f>RANK(Tableau1[[#This Row],[SCORE
Final 
2025]],Tableau1[SCORE
Final 
2025],1)</f>
        <v>61</v>
      </c>
    </row>
    <row r="76" spans="2:16" ht="20.100000000000001" customHeight="1" x14ac:dyDescent="0.4">
      <c r="B76" s="68" t="s">
        <v>36</v>
      </c>
      <c r="C76" s="68" t="s">
        <v>37</v>
      </c>
      <c r="D76" s="29" t="s">
        <v>19</v>
      </c>
      <c r="E76" s="34">
        <f>_xlfn.IFNA(VLOOKUP(TRIM(CONCATENATE(Tableau1[[#This Row],[PRENOM]],Tableau1[[#This Row],[NOM]])),'T1'!$C$5:$E$106,3,FALSE),90)</f>
        <v>90</v>
      </c>
      <c r="F76" s="34">
        <f>_xlfn.IFNA(VLOOKUP(TRIM(CONCATENATE(Tableau1[[#This Row],[PRENOM]],Tableau1[[#This Row],[NOM]])),'T2'!$C$5:$E$111,3,FALSE),90)</f>
        <v>90</v>
      </c>
      <c r="G76" s="34">
        <f>_xlfn.IFNA(VLOOKUP(TRIM(CONCATENATE(Tableau1[[#This Row],[PRENOM]],Tableau1[[#This Row],[NOM]])),'T3'!$C$5:$E$107,3,FALSE),90)</f>
        <v>90</v>
      </c>
      <c r="H76" s="34">
        <f>_xlfn.IFNA(VLOOKUP(TRIM(CONCATENATE(Tableau1[[#This Row],[PRENOM]],Tableau1[[#This Row],[NOM]])),'T4'!$C$5:$E$108,3,FALSE),90)</f>
        <v>90</v>
      </c>
      <c r="I76" s="34">
        <f>_xlfn.IFNA(VLOOKUP(TRIM(CONCATENATE(Tableau1[[#This Row],[PRENOM]],Tableau1[[#This Row],[NOM]])),'T5'!$C$5:$E$105,3,FALSE),90)</f>
        <v>90</v>
      </c>
      <c r="J76" s="34">
        <f>_xlfn.IFNA(VLOOKUP(TRIM(CONCATENATE(Tableau1[[#This Row],[PRENOM]],Tableau1[[#This Row],[NOM]])),'T6'!$C$5:$E$118,3,FALSE),90)</f>
        <v>90</v>
      </c>
      <c r="K76" s="34">
        <f>_xlfn.IFNA(VLOOKUP(TRIM(CONCATENATE(Tableau1[[#This Row],[PRENOM]],Tableau1[[#This Row],[NOM]])),'T7'!$C$5:$E$106,3,FALSE),90)</f>
        <v>90</v>
      </c>
      <c r="L76" s="35">
        <f t="shared" si="8"/>
        <v>630</v>
      </c>
      <c r="M76" s="38">
        <f t="shared" si="9"/>
        <v>90</v>
      </c>
      <c r="N76" s="39">
        <f t="shared" si="10"/>
        <v>90</v>
      </c>
      <c r="O76" s="33">
        <f t="shared" si="11"/>
        <v>450</v>
      </c>
      <c r="P76" s="33">
        <f>RANK(Tableau1[[#This Row],[SCORE
Final 
2025]],Tableau1[SCORE
Final 
2025],1)</f>
        <v>61</v>
      </c>
    </row>
    <row r="77" spans="2:16" ht="20.100000000000001" customHeight="1" x14ac:dyDescent="0.4">
      <c r="B77" s="7" t="s">
        <v>140</v>
      </c>
      <c r="C77" s="7" t="s">
        <v>12</v>
      </c>
      <c r="D77" s="56" t="s">
        <v>26</v>
      </c>
      <c r="E77" s="34">
        <f>_xlfn.IFNA(VLOOKUP(TRIM(CONCATENATE(Tableau1[[#This Row],[PRENOM]],Tableau1[[#This Row],[NOM]])),'T1'!$C$5:$E$106,3,FALSE),90)</f>
        <v>90</v>
      </c>
      <c r="F77" s="34">
        <f>_xlfn.IFNA(VLOOKUP(TRIM(CONCATENATE(Tableau1[[#This Row],[PRENOM]],Tableau1[[#This Row],[NOM]])),'T2'!$C$5:$E$111,3,FALSE),90)</f>
        <v>90</v>
      </c>
      <c r="G77" s="34">
        <f>_xlfn.IFNA(VLOOKUP(TRIM(CONCATENATE(Tableau1[[#This Row],[PRENOM]],Tableau1[[#This Row],[NOM]])),'T3'!$C$5:$E$107,3,FALSE),90)</f>
        <v>90</v>
      </c>
      <c r="H77" s="34">
        <f>_xlfn.IFNA(VLOOKUP(TRIM(CONCATENATE(Tableau1[[#This Row],[PRENOM]],Tableau1[[#This Row],[NOM]])),'T4'!$C$5:$E$108,3,FALSE),90)</f>
        <v>90</v>
      </c>
      <c r="I77" s="34">
        <f>_xlfn.IFNA(VLOOKUP(TRIM(CONCATENATE(Tableau1[[#This Row],[PRENOM]],Tableau1[[#This Row],[NOM]])),'T5'!$C$5:$E$105,3,FALSE),90)</f>
        <v>90</v>
      </c>
      <c r="J77" s="34">
        <f>_xlfn.IFNA(VLOOKUP(TRIM(CONCATENATE(Tableau1[[#This Row],[PRENOM]],Tableau1[[#This Row],[NOM]])),'T6'!$C$5:$E$118,3,FALSE),90)</f>
        <v>90</v>
      </c>
      <c r="K77" s="34">
        <f>_xlfn.IFNA(VLOOKUP(TRIM(CONCATENATE(Tableau1[[#This Row],[PRENOM]],Tableau1[[#This Row],[NOM]])),'T7'!$C$5:$E$106,3,FALSE),90)</f>
        <v>90</v>
      </c>
      <c r="L77" s="35">
        <f t="shared" si="8"/>
        <v>630</v>
      </c>
      <c r="M77" s="38">
        <f t="shared" si="9"/>
        <v>90</v>
      </c>
      <c r="N77" s="39">
        <f t="shared" si="10"/>
        <v>90</v>
      </c>
      <c r="O77" s="33">
        <f t="shared" si="11"/>
        <v>450</v>
      </c>
      <c r="P77" s="33">
        <f>RANK(Tableau1[[#This Row],[SCORE
Final 
2025]],Tableau1[SCORE
Final 
2025],1)</f>
        <v>61</v>
      </c>
    </row>
    <row r="78" spans="2:16" ht="20.100000000000001" customHeight="1" x14ac:dyDescent="0.4">
      <c r="B78" s="7" t="s">
        <v>127</v>
      </c>
      <c r="C78" s="7" t="s">
        <v>33</v>
      </c>
      <c r="D78" s="62" t="s">
        <v>13</v>
      </c>
      <c r="E78" s="34">
        <f>_xlfn.IFNA(VLOOKUP(TRIM(CONCATENATE(Tableau1[[#This Row],[PRENOM]],Tableau1[[#This Row],[NOM]])),'T1'!$C$5:$E$106,3,FALSE),90)</f>
        <v>90</v>
      </c>
      <c r="F78" s="34">
        <f>_xlfn.IFNA(VLOOKUP(TRIM(CONCATENATE(Tableau1[[#This Row],[PRENOM]],Tableau1[[#This Row],[NOM]])),'T2'!$C$5:$E$111,3,FALSE),90)</f>
        <v>90</v>
      </c>
      <c r="G78" s="34">
        <f>_xlfn.IFNA(VLOOKUP(TRIM(CONCATENATE(Tableau1[[#This Row],[PRENOM]],Tableau1[[#This Row],[NOM]])),'T3'!$C$5:$E$107,3,FALSE),90)</f>
        <v>90</v>
      </c>
      <c r="H78" s="34">
        <f>_xlfn.IFNA(VLOOKUP(TRIM(CONCATENATE(Tableau1[[#This Row],[PRENOM]],Tableau1[[#This Row],[NOM]])),'T4'!$C$5:$E$108,3,FALSE),90)</f>
        <v>90</v>
      </c>
      <c r="I78" s="34">
        <f>_xlfn.IFNA(VLOOKUP(TRIM(CONCATENATE(Tableau1[[#This Row],[PRENOM]],Tableau1[[#This Row],[NOM]])),'T5'!$C$5:$E$105,3,FALSE),90)</f>
        <v>90</v>
      </c>
      <c r="J78" s="34">
        <f>_xlfn.IFNA(VLOOKUP(TRIM(CONCATENATE(Tableau1[[#This Row],[PRENOM]],Tableau1[[#This Row],[NOM]])),'T6'!$C$5:$E$118,3,FALSE),90)</f>
        <v>90</v>
      </c>
      <c r="K78" s="34">
        <f>_xlfn.IFNA(VLOOKUP(TRIM(CONCATENATE(Tableau1[[#This Row],[PRENOM]],Tableau1[[#This Row],[NOM]])),'T7'!$C$5:$E$106,3,FALSE),90)</f>
        <v>90</v>
      </c>
      <c r="L78" s="35">
        <f t="shared" si="8"/>
        <v>630</v>
      </c>
      <c r="M78" s="38">
        <f t="shared" si="9"/>
        <v>90</v>
      </c>
      <c r="N78" s="39">
        <f t="shared" si="10"/>
        <v>90</v>
      </c>
      <c r="O78" s="33">
        <f t="shared" si="11"/>
        <v>450</v>
      </c>
      <c r="P78" s="33">
        <f>RANK(Tableau1[[#This Row],[SCORE
Final 
2025]],Tableau1[SCORE
Final 
2025],1)</f>
        <v>61</v>
      </c>
    </row>
    <row r="79" spans="2:16" ht="20.100000000000001" customHeight="1" x14ac:dyDescent="0.4">
      <c r="B79" s="7" t="s">
        <v>9</v>
      </c>
      <c r="C79" s="7" t="s">
        <v>10</v>
      </c>
      <c r="D79" s="220" t="s">
        <v>129</v>
      </c>
      <c r="E79" s="34">
        <f>_xlfn.IFNA(VLOOKUP(TRIM(CONCATENATE(Tableau1[[#This Row],[PRENOM]],Tableau1[[#This Row],[NOM]])),'T1'!$C$5:$E$106,3,FALSE),90)</f>
        <v>90</v>
      </c>
      <c r="F79" s="34">
        <f>_xlfn.IFNA(VLOOKUP(TRIM(CONCATENATE(Tableau1[[#This Row],[PRENOM]],Tableau1[[#This Row],[NOM]])),'T2'!$C$5:$E$111,3,FALSE),90)</f>
        <v>90</v>
      </c>
      <c r="G79" s="34">
        <f>_xlfn.IFNA(VLOOKUP(TRIM(CONCATENATE(Tableau1[[#This Row],[PRENOM]],Tableau1[[#This Row],[NOM]])),'T3'!$C$5:$E$107,3,FALSE),90)</f>
        <v>90</v>
      </c>
      <c r="H79" s="34">
        <f>_xlfn.IFNA(VLOOKUP(TRIM(CONCATENATE(Tableau1[[#This Row],[PRENOM]],Tableau1[[#This Row],[NOM]])),'T4'!$C$5:$E$108,3,FALSE),90)</f>
        <v>90</v>
      </c>
      <c r="I79" s="34">
        <f>_xlfn.IFNA(VLOOKUP(TRIM(CONCATENATE(Tableau1[[#This Row],[PRENOM]],Tableau1[[#This Row],[NOM]])),'T5'!$C$5:$E$105,3,FALSE),90)</f>
        <v>90</v>
      </c>
      <c r="J79" s="34">
        <f>_xlfn.IFNA(VLOOKUP(TRIM(CONCATENATE(Tableau1[[#This Row],[PRENOM]],Tableau1[[#This Row],[NOM]])),'T6'!$C$5:$E$118,3,FALSE),90)</f>
        <v>90</v>
      </c>
      <c r="K79" s="34">
        <f>_xlfn.IFNA(VLOOKUP(TRIM(CONCATENATE(Tableau1[[#This Row],[PRENOM]],Tableau1[[#This Row],[NOM]])),'T7'!$C$5:$E$106,3,FALSE),90)</f>
        <v>90</v>
      </c>
      <c r="L79" s="35">
        <f t="shared" si="8"/>
        <v>630</v>
      </c>
      <c r="M79" s="38">
        <f t="shared" si="9"/>
        <v>90</v>
      </c>
      <c r="N79" s="39">
        <f t="shared" si="10"/>
        <v>90</v>
      </c>
      <c r="O79" s="33">
        <f t="shared" si="11"/>
        <v>450</v>
      </c>
      <c r="P79" s="33">
        <f>RANK(Tableau1[[#This Row],[SCORE
Final 
2025]],Tableau1[SCORE
Final 
2025],1)</f>
        <v>61</v>
      </c>
    </row>
    <row r="80" spans="2:16" ht="20.100000000000001" customHeight="1" x14ac:dyDescent="0.4">
      <c r="B80" s="7" t="s">
        <v>123</v>
      </c>
      <c r="C80" s="7" t="s">
        <v>124</v>
      </c>
      <c r="D80" s="29" t="s">
        <v>19</v>
      </c>
      <c r="E80" s="34">
        <f>_xlfn.IFNA(VLOOKUP(TRIM(CONCATENATE(Tableau1[[#This Row],[PRENOM]],Tableau1[[#This Row],[NOM]])),'T1'!$C$5:$E$106,3,FALSE),90)</f>
        <v>90</v>
      </c>
      <c r="F80" s="34">
        <f>_xlfn.IFNA(VLOOKUP(TRIM(CONCATENATE(Tableau1[[#This Row],[PRENOM]],Tableau1[[#This Row],[NOM]])),'T2'!$C$5:$E$111,3,FALSE),90)</f>
        <v>90</v>
      </c>
      <c r="G80" s="34">
        <f>_xlfn.IFNA(VLOOKUP(TRIM(CONCATENATE(Tableau1[[#This Row],[PRENOM]],Tableau1[[#This Row],[NOM]])),'T3'!$C$5:$E$107,3,FALSE),90)</f>
        <v>90</v>
      </c>
      <c r="H80" s="34">
        <f>_xlfn.IFNA(VLOOKUP(TRIM(CONCATENATE(Tableau1[[#This Row],[PRENOM]],Tableau1[[#This Row],[NOM]])),'T4'!$C$5:$E$108,3,FALSE),90)</f>
        <v>90</v>
      </c>
      <c r="I80" s="34">
        <f>_xlfn.IFNA(VLOOKUP(TRIM(CONCATENATE(Tableau1[[#This Row],[PRENOM]],Tableau1[[#This Row],[NOM]])),'T5'!$C$5:$E$105,3,FALSE),90)</f>
        <v>90</v>
      </c>
      <c r="J80" s="34">
        <f>_xlfn.IFNA(VLOOKUP(TRIM(CONCATENATE(Tableau1[[#This Row],[PRENOM]],Tableau1[[#This Row],[NOM]])),'T6'!$C$5:$E$118,3,FALSE),90)</f>
        <v>90</v>
      </c>
      <c r="K80" s="34">
        <f>_xlfn.IFNA(VLOOKUP(TRIM(CONCATENATE(Tableau1[[#This Row],[PRENOM]],Tableau1[[#This Row],[NOM]])),'T7'!$C$5:$E$106,3,FALSE),90)</f>
        <v>90</v>
      </c>
      <c r="L80" s="35">
        <f t="shared" si="8"/>
        <v>630</v>
      </c>
      <c r="M80" s="38">
        <f t="shared" si="9"/>
        <v>90</v>
      </c>
      <c r="N80" s="39">
        <f t="shared" si="10"/>
        <v>90</v>
      </c>
      <c r="O80" s="33">
        <f t="shared" si="11"/>
        <v>450</v>
      </c>
      <c r="P80" s="33">
        <f>RANK(Tableau1[[#This Row],[SCORE
Final 
2025]],Tableau1[SCORE
Final 
2025],1)</f>
        <v>61</v>
      </c>
    </row>
    <row r="81" spans="1:16" ht="20.100000000000001" customHeight="1" x14ac:dyDescent="0.4">
      <c r="B81" s="7" t="s">
        <v>45</v>
      </c>
      <c r="C81" s="7" t="s">
        <v>46</v>
      </c>
      <c r="D81" s="29" t="s">
        <v>19</v>
      </c>
      <c r="E81" s="34">
        <f>_xlfn.IFNA(VLOOKUP(TRIM(CONCATENATE(Tableau1[[#This Row],[PRENOM]],Tableau1[[#This Row],[NOM]])),'T1'!$C$5:$E$106,3,FALSE),90)</f>
        <v>90</v>
      </c>
      <c r="F81" s="34">
        <f>_xlfn.IFNA(VLOOKUP(TRIM(CONCATENATE(Tableau1[[#This Row],[PRENOM]],Tableau1[[#This Row],[NOM]])),'T2'!$C$5:$E$111,3,FALSE),90)</f>
        <v>90</v>
      </c>
      <c r="G81" s="34">
        <f>_xlfn.IFNA(VLOOKUP(TRIM(CONCATENATE(Tableau1[[#This Row],[PRENOM]],Tableau1[[#This Row],[NOM]])),'T3'!$C$5:$E$107,3,FALSE),90)</f>
        <v>90</v>
      </c>
      <c r="H81" s="34">
        <f>_xlfn.IFNA(VLOOKUP(TRIM(CONCATENATE(Tableau1[[#This Row],[PRENOM]],Tableau1[[#This Row],[NOM]])),'T4'!$C$5:$E$108,3,FALSE),90)</f>
        <v>90</v>
      </c>
      <c r="I81" s="34">
        <f>_xlfn.IFNA(VLOOKUP(TRIM(CONCATENATE(Tableau1[[#This Row],[PRENOM]],Tableau1[[#This Row],[NOM]])),'T5'!$C$5:$E$105,3,FALSE),90)</f>
        <v>90</v>
      </c>
      <c r="J81" s="34">
        <f>_xlfn.IFNA(VLOOKUP(TRIM(CONCATENATE(Tableau1[[#This Row],[PRENOM]],Tableau1[[#This Row],[NOM]])),'T6'!$C$5:$E$118,3,FALSE),90)</f>
        <v>90</v>
      </c>
      <c r="K81" s="34">
        <f>_xlfn.IFNA(VLOOKUP(TRIM(CONCATENATE(Tableau1[[#This Row],[PRENOM]],Tableau1[[#This Row],[NOM]])),'T7'!$C$5:$E$106,3,FALSE),90)</f>
        <v>90</v>
      </c>
      <c r="L81" s="35">
        <f t="shared" si="8"/>
        <v>630</v>
      </c>
      <c r="M81" s="38">
        <f t="shared" si="9"/>
        <v>90</v>
      </c>
      <c r="N81" s="39">
        <f t="shared" si="10"/>
        <v>90</v>
      </c>
      <c r="O81" s="33">
        <f t="shared" si="11"/>
        <v>450</v>
      </c>
      <c r="P81" s="33">
        <f>RANK(Tableau1[[#This Row],[SCORE
Final 
2025]],Tableau1[SCORE
Final 
2025],1)</f>
        <v>61</v>
      </c>
    </row>
    <row r="82" spans="1:16" ht="20.25" thickBot="1" x14ac:dyDescent="0.45">
      <c r="A82" s="1"/>
      <c r="B82" s="2"/>
      <c r="C82" s="2"/>
      <c r="D82" s="2"/>
      <c r="E82" s="3"/>
      <c r="F82" s="3"/>
      <c r="G82" s="4"/>
      <c r="H82" s="4"/>
      <c r="I82" s="4"/>
      <c r="J82" s="3"/>
      <c r="K82" s="4"/>
      <c r="L82" s="4"/>
      <c r="M82" s="4"/>
      <c r="N82" s="1"/>
      <c r="O82" s="1"/>
    </row>
    <row r="83" spans="1:16" ht="63.75" customHeight="1" thickBot="1" x14ac:dyDescent="0.3">
      <c r="B83" s="46" t="s">
        <v>54</v>
      </c>
      <c r="C83" s="44"/>
      <c r="D83" s="45"/>
      <c r="E83" s="19" t="s">
        <v>2</v>
      </c>
      <c r="F83" s="19" t="s">
        <v>3</v>
      </c>
      <c r="G83" s="8" t="s">
        <v>4</v>
      </c>
      <c r="H83" s="8" t="s">
        <v>5</v>
      </c>
      <c r="I83" s="8" t="s">
        <v>72</v>
      </c>
      <c r="J83" s="8" t="s">
        <v>87</v>
      </c>
      <c r="K83" s="8" t="s">
        <v>88</v>
      </c>
      <c r="L83"/>
      <c r="M83"/>
      <c r="N83"/>
      <c r="O83"/>
    </row>
    <row r="84" spans="1:16" ht="77.099999999999994" customHeight="1" thickBot="1" x14ac:dyDescent="0.3">
      <c r="B84" s="54" t="s">
        <v>80</v>
      </c>
      <c r="C84" s="48" t="s">
        <v>81</v>
      </c>
      <c r="D84" s="49" t="s">
        <v>82</v>
      </c>
      <c r="E84" s="50" t="s">
        <v>162</v>
      </c>
      <c r="F84" s="50" t="s">
        <v>163</v>
      </c>
      <c r="G84" s="50" t="s">
        <v>164</v>
      </c>
      <c r="H84" s="50" t="s">
        <v>165</v>
      </c>
      <c r="I84" s="50" t="s">
        <v>166</v>
      </c>
      <c r="J84" s="50" t="s">
        <v>167</v>
      </c>
      <c r="K84" s="50" t="s">
        <v>168</v>
      </c>
      <c r="L84" s="51" t="s">
        <v>0</v>
      </c>
      <c r="M84" s="52" t="s">
        <v>118</v>
      </c>
      <c r="N84" s="52" t="s">
        <v>119</v>
      </c>
      <c r="O84" s="53" t="s">
        <v>128</v>
      </c>
      <c r="P84" s="60" t="s">
        <v>158</v>
      </c>
    </row>
    <row r="85" spans="1:16" ht="21" customHeight="1" x14ac:dyDescent="0.4">
      <c r="B85" s="131" t="s">
        <v>86</v>
      </c>
      <c r="C85" s="68" t="s">
        <v>95</v>
      </c>
      <c r="D85" s="26" t="s">
        <v>130</v>
      </c>
      <c r="E85" s="69">
        <f>_xlfn.IFNA(VLOOKUP(TRIM(CONCATENATE(Tableau2[[#This Row],[PRENOM]],Tableau2[[#This Row],[NOM]])),'T1'!$C$5:$E$106,3,FALSE),90)</f>
        <v>74</v>
      </c>
      <c r="F85" s="69">
        <f>_xlfn.IFNA(VLOOKUP(TRIM(CONCATENATE(Tableau2[[#This Row],[PRENOM]],Tableau2[[#This Row],[NOM]])),'T2'!$C$5:$E$111,3,FALSE),90)</f>
        <v>78</v>
      </c>
      <c r="G85" s="69">
        <f>_xlfn.IFNA(VLOOKUP(TRIM(CONCATENATE(Tableau2[[#This Row],[PRENOM]],Tableau2[[#This Row],[NOM]])),'T3'!$C$5:$E$107,3,FALSE),90)</f>
        <v>70</v>
      </c>
      <c r="H85" s="69">
        <f>_xlfn.IFNA(VLOOKUP(TRIM(CONCATENATE(Tableau2[[#This Row],[PRENOM]],Tableau2[[#This Row],[NOM]])),'T4'!$C$5:$E$108,3,FALSE),90)</f>
        <v>90</v>
      </c>
      <c r="I85" s="69">
        <v>66</v>
      </c>
      <c r="J85" s="69">
        <f>_xlfn.IFNA(VLOOKUP(TRIM(CONCATENATE(Tableau2[[#This Row],[PRENOM]],Tableau2[[#This Row],[NOM]])),'T6'!$C$5:$E$118,3,FALSE),90)</f>
        <v>74</v>
      </c>
      <c r="K85" s="69">
        <f>_xlfn.IFNA(VLOOKUP(TRIM(CONCATENATE(Tableau2[[#This Row],[PRENOM]],Tableau2[[#This Row],[NOM]])),'T7'!$C$5:$E$106,3,FALSE),90)</f>
        <v>70</v>
      </c>
      <c r="L85" s="130">
        <f t="shared" ref="L85:L130" si="12">SUM(E85:K85)</f>
        <v>522</v>
      </c>
      <c r="M85" s="186">
        <f t="shared" ref="M85:M130" si="13">LARGE(E85:K85,1)</f>
        <v>90</v>
      </c>
      <c r="N85" s="72">
        <f t="shared" ref="N85:N130" si="14">LARGE(E85:K85,2)</f>
        <v>78</v>
      </c>
      <c r="O85" s="33">
        <f t="shared" ref="O85:O130" si="15">L85-M85-N85</f>
        <v>354</v>
      </c>
      <c r="P85" s="33">
        <f>RANK(Tableau2[[#This Row],[SCORE
Final 
2024]],Tableau2[SCORE
Final 
2024],1)</f>
        <v>1</v>
      </c>
    </row>
    <row r="86" spans="1:16" ht="21" customHeight="1" x14ac:dyDescent="0.4">
      <c r="B86" s="131" t="s">
        <v>98</v>
      </c>
      <c r="C86" s="68" t="s">
        <v>99</v>
      </c>
      <c r="D86" s="237" t="s">
        <v>74</v>
      </c>
      <c r="E86" s="69">
        <f>_xlfn.IFNA(VLOOKUP(TRIM(CONCATENATE(Tableau2[[#This Row],[PRENOM]],Tableau2[[#This Row],[NOM]])),'T1'!$C$5:$E$106,3,FALSE),90)</f>
        <v>90</v>
      </c>
      <c r="F86" s="69">
        <f>_xlfn.IFNA(VLOOKUP(TRIM(CONCATENATE(Tableau2[[#This Row],[PRENOM]],Tableau2[[#This Row],[NOM]])),'T2'!$C$5:$E$111,3,FALSE),90)</f>
        <v>90</v>
      </c>
      <c r="G86" s="69">
        <f>_xlfn.IFNA(VLOOKUP(TRIM(CONCATENATE(Tableau2[[#This Row],[PRENOM]],Tableau2[[#This Row],[NOM]])),'T3'!$C$5:$E$107,3,FALSE),90)</f>
        <v>62</v>
      </c>
      <c r="H86" s="69">
        <f>_xlfn.IFNA(VLOOKUP(TRIM(CONCATENATE(Tableau2[[#This Row],[PRENOM]],Tableau2[[#This Row],[NOM]])),'T4'!$C$5:$E$108,3,FALSE),90)</f>
        <v>68</v>
      </c>
      <c r="I86" s="69">
        <f>_xlfn.IFNA(VLOOKUP(TRIM(CONCATENATE(Tableau2[[#This Row],[PRENOM]],Tableau2[[#This Row],[NOM]])),'T5'!$C$5:$E$105,3,FALSE),90)</f>
        <v>75</v>
      </c>
      <c r="J86" s="69">
        <f>_xlfn.IFNA(VLOOKUP(TRIM(CONCATENATE(Tableau2[[#This Row],[PRENOM]],Tableau2[[#This Row],[NOM]])),'T6'!$C$5:$E$118,3,FALSE),90)</f>
        <v>90</v>
      </c>
      <c r="K86" s="69">
        <f>_xlfn.IFNA(VLOOKUP(TRIM(CONCATENATE(Tableau2[[#This Row],[PRENOM]],Tableau2[[#This Row],[NOM]])),'T7'!$C$5:$E$106,3,FALSE),90)</f>
        <v>67</v>
      </c>
      <c r="L86" s="130">
        <f t="shared" si="12"/>
        <v>542</v>
      </c>
      <c r="M86" s="186">
        <f t="shared" si="13"/>
        <v>90</v>
      </c>
      <c r="N86" s="72">
        <f t="shared" si="14"/>
        <v>90</v>
      </c>
      <c r="O86" s="33">
        <f t="shared" si="15"/>
        <v>362</v>
      </c>
      <c r="P86" s="33">
        <f>RANK(Tableau2[[#This Row],[SCORE
Final 
2024]],Tableau2[SCORE
Final 
2024],1)</f>
        <v>2</v>
      </c>
    </row>
    <row r="87" spans="1:16" ht="21" customHeight="1" x14ac:dyDescent="0.4">
      <c r="B87" s="63" t="s">
        <v>73</v>
      </c>
      <c r="C87" s="7" t="s">
        <v>66</v>
      </c>
      <c r="D87" s="27" t="s">
        <v>74</v>
      </c>
      <c r="E87" s="34">
        <f>_xlfn.IFNA(VLOOKUP(TRIM(CONCATENATE(Tableau2[[#This Row],[PRENOM]],Tableau2[[#This Row],[NOM]])),'T1'!$C$5:$E$106,3,FALSE),90)</f>
        <v>78</v>
      </c>
      <c r="F87" s="69">
        <f>_xlfn.IFNA(VLOOKUP(TRIM(CONCATENATE(Tableau2[[#This Row],[PRENOM]],Tableau2[[#This Row],[NOM]])),'T2'!$C$5:$E$111,3,FALSE),90)</f>
        <v>76</v>
      </c>
      <c r="G87" s="34">
        <f>_xlfn.IFNA(VLOOKUP(TRIM(CONCATENATE(Tableau2[[#This Row],[PRENOM]],Tableau2[[#This Row],[NOM]])),'T3'!$C$5:$E$107,3,FALSE),90)</f>
        <v>69</v>
      </c>
      <c r="H87" s="34">
        <f>_xlfn.IFNA(VLOOKUP(TRIM(CONCATENATE(Tableau2[[#This Row],[PRENOM]],Tableau2[[#This Row],[NOM]])),'T4'!$C$5:$E$108,3,FALSE),90)</f>
        <v>75</v>
      </c>
      <c r="I87" s="34">
        <f>_xlfn.IFNA(VLOOKUP(TRIM(CONCATENATE(Tableau2[[#This Row],[PRENOM]],Tableau2[[#This Row],[NOM]])),'T5'!$C$5:$E$105,3,FALSE),90)</f>
        <v>79</v>
      </c>
      <c r="J87" s="34">
        <f>_xlfn.IFNA(VLOOKUP(TRIM(CONCATENATE(Tableau2[[#This Row],[PRENOM]],Tableau2[[#This Row],[NOM]])),'T6'!$C$5:$E$118,3,FALSE),90)</f>
        <v>68</v>
      </c>
      <c r="K87" s="69">
        <f>_xlfn.IFNA(VLOOKUP(TRIM(CONCATENATE(Tableau2[[#This Row],[PRENOM]],Tableau2[[#This Row],[NOM]])),'T7'!$C$5:$E$106,3,FALSE),90)</f>
        <v>77</v>
      </c>
      <c r="L87" s="35">
        <f t="shared" si="12"/>
        <v>522</v>
      </c>
      <c r="M87" s="55">
        <f t="shared" si="13"/>
        <v>79</v>
      </c>
      <c r="N87" s="40">
        <f t="shared" si="14"/>
        <v>78</v>
      </c>
      <c r="O87" s="33">
        <f t="shared" si="15"/>
        <v>365</v>
      </c>
      <c r="P87" s="59">
        <f>RANK(Tableau2[[#This Row],[SCORE
Final 
2024]],Tableau2[SCORE
Final 
2024],1)</f>
        <v>3</v>
      </c>
    </row>
    <row r="88" spans="1:16" ht="21" customHeight="1" x14ac:dyDescent="0.4">
      <c r="B88" s="63" t="s">
        <v>84</v>
      </c>
      <c r="C88" s="7" t="s">
        <v>78</v>
      </c>
      <c r="D88" s="25" t="s">
        <v>8</v>
      </c>
      <c r="E88" s="34">
        <f>_xlfn.IFNA(VLOOKUP(TRIM(CONCATENATE(Tableau2[[#This Row],[PRENOM]],Tableau2[[#This Row],[NOM]])),'T1'!$C$5:$E$106,3,FALSE),90)</f>
        <v>70</v>
      </c>
      <c r="F88" s="69">
        <f>_xlfn.IFNA(VLOOKUP(TRIM(CONCATENATE(Tableau2[[#This Row],[PRENOM]],Tableau2[[#This Row],[NOM]])),'T2'!$C$5:$E$111,3,FALSE),90)</f>
        <v>80</v>
      </c>
      <c r="G88" s="34">
        <f>_xlfn.IFNA(VLOOKUP(TRIM(CONCATENATE(Tableau2[[#This Row],[PRENOM]],Tableau2[[#This Row],[NOM]])),'T3'!$C$5:$E$107,3,FALSE),90)</f>
        <v>69</v>
      </c>
      <c r="H88" s="34">
        <f>_xlfn.IFNA(VLOOKUP(TRIM(CONCATENATE(Tableau2[[#This Row],[PRENOM]],Tableau2[[#This Row],[NOM]])),'T4'!$C$5:$E$108,3,FALSE),90)</f>
        <v>90</v>
      </c>
      <c r="I88" s="34">
        <f>_xlfn.IFNA(VLOOKUP(TRIM(CONCATENATE(Tableau2[[#This Row],[PRENOM]],Tableau2[[#This Row],[NOM]])),'T5'!$C$5:$E$105,3,FALSE),90)</f>
        <v>72</v>
      </c>
      <c r="J88" s="34">
        <f>_xlfn.IFNA(VLOOKUP(TRIM(CONCATENATE(Tableau2[[#This Row],[PRENOM]],Tableau2[[#This Row],[NOM]])),'T6'!$C$5:$E$118,3,FALSE),90)</f>
        <v>90</v>
      </c>
      <c r="K88" s="34">
        <f>_xlfn.IFNA(VLOOKUP(TRIM(CONCATENATE(Tableau2[[#This Row],[PRENOM]],Tableau2[[#This Row],[NOM]])),'T7'!$C$5:$E$106,3,FALSE),90)</f>
        <v>75</v>
      </c>
      <c r="L88" s="35">
        <f t="shared" si="12"/>
        <v>546</v>
      </c>
      <c r="M88" s="55">
        <f t="shared" si="13"/>
        <v>90</v>
      </c>
      <c r="N88" s="40">
        <f t="shared" si="14"/>
        <v>90</v>
      </c>
      <c r="O88" s="33">
        <f t="shared" si="15"/>
        <v>366</v>
      </c>
      <c r="P88" s="33">
        <f>RANK(Tableau2[[#This Row],[SCORE
Final 
2024]],Tableau2[SCORE
Final 
2024],1)</f>
        <v>4</v>
      </c>
    </row>
    <row r="89" spans="1:16" ht="21" customHeight="1" x14ac:dyDescent="0.4">
      <c r="B89" s="63" t="s">
        <v>96</v>
      </c>
      <c r="C89" s="7" t="s">
        <v>60</v>
      </c>
      <c r="D89" s="249" t="s">
        <v>19</v>
      </c>
      <c r="E89" s="34">
        <f>_xlfn.IFNA(VLOOKUP(TRIM(CONCATENATE(Tableau2[[#This Row],[PRENOM]],Tableau2[[#This Row],[NOM]])),'T1'!$C$5:$E$106,3,FALSE),90)</f>
        <v>71</v>
      </c>
      <c r="F89" s="69">
        <f>_xlfn.IFNA(VLOOKUP(TRIM(CONCATENATE(Tableau2[[#This Row],[PRENOM]],Tableau2[[#This Row],[NOM]])),'T2'!$C$5:$E$111,3,FALSE),90)</f>
        <v>78</v>
      </c>
      <c r="G89" s="34">
        <f>_xlfn.IFNA(VLOOKUP(TRIM(CONCATENATE(Tableau2[[#This Row],[PRENOM]],Tableau2[[#This Row],[NOM]])),'T3'!$C$5:$E$107,3,FALSE),90)</f>
        <v>70</v>
      </c>
      <c r="H89" s="34">
        <f>_xlfn.IFNA(VLOOKUP(TRIM(CONCATENATE(Tableau2[[#This Row],[PRENOM]],Tableau2[[#This Row],[NOM]])),'T4'!$C$5:$E$108,3,FALSE),90)</f>
        <v>77</v>
      </c>
      <c r="I89" s="34">
        <f>_xlfn.IFNA(VLOOKUP(TRIM(CONCATENATE(Tableau2[[#This Row],[PRENOM]],Tableau2[[#This Row],[NOM]])),'T5'!$C$5:$E$105,3,FALSE),90)</f>
        <v>90</v>
      </c>
      <c r="J89" s="34">
        <f>_xlfn.IFNA(VLOOKUP(TRIM(CONCATENATE(Tableau2[[#This Row],[PRENOM]],Tableau2[[#This Row],[NOM]])),'T6'!$C$5:$E$118,3,FALSE),90)</f>
        <v>74</v>
      </c>
      <c r="K89" s="34">
        <f>_xlfn.IFNA(VLOOKUP(TRIM(CONCATENATE(Tableau2[[#This Row],[PRENOM]],Tableau2[[#This Row],[NOM]])),'T7'!$C$5:$E$106,3,FALSE),90)</f>
        <v>76</v>
      </c>
      <c r="L89" s="35">
        <f t="shared" si="12"/>
        <v>536</v>
      </c>
      <c r="M89" s="55">
        <f t="shared" si="13"/>
        <v>90</v>
      </c>
      <c r="N89" s="40">
        <f t="shared" si="14"/>
        <v>78</v>
      </c>
      <c r="O89" s="33">
        <f t="shared" si="15"/>
        <v>368</v>
      </c>
      <c r="P89" s="33">
        <f>RANK(Tableau2[[#This Row],[SCORE
Final 
2024]],Tableau2[SCORE
Final 
2024],1)</f>
        <v>5</v>
      </c>
    </row>
    <row r="90" spans="1:16" ht="21" customHeight="1" x14ac:dyDescent="0.4">
      <c r="B90" s="63" t="s">
        <v>38</v>
      </c>
      <c r="C90" s="68" t="s">
        <v>57</v>
      </c>
      <c r="D90" s="236" t="s">
        <v>8</v>
      </c>
      <c r="E90" s="69">
        <f>_xlfn.IFNA(VLOOKUP(TRIM(CONCATENATE(Tableau2[[#This Row],[PRENOM]],Tableau2[[#This Row],[NOM]])),'T1'!$C$5:$E$106,3,FALSE),90)</f>
        <v>65</v>
      </c>
      <c r="F90" s="69">
        <f>_xlfn.IFNA(VLOOKUP(TRIM(CONCATENATE(Tableau2[[#This Row],[PRENOM]],Tableau2[[#This Row],[NOM]])),'T2'!$C$5:$E$111,3,FALSE),90)</f>
        <v>80</v>
      </c>
      <c r="G90" s="69">
        <f>_xlfn.IFNA(VLOOKUP(TRIM(CONCATENATE(Tableau2[[#This Row],[PRENOM]],Tableau2[[#This Row],[NOM]])),'T3'!$C$5:$E$107,3,FALSE),90)</f>
        <v>73</v>
      </c>
      <c r="H90" s="69">
        <f>_xlfn.IFNA(VLOOKUP(TRIM(CONCATENATE(Tableau2[[#This Row],[PRENOM]],Tableau2[[#This Row],[NOM]])),'T4'!$C$5:$E$108,3,FALSE),90)</f>
        <v>77</v>
      </c>
      <c r="I90" s="69">
        <f>_xlfn.IFNA(VLOOKUP(TRIM(CONCATENATE(Tableau2[[#This Row],[PRENOM]],Tableau2[[#This Row],[NOM]])),'T5'!$C$5:$E$105,3,FALSE),90)</f>
        <v>78</v>
      </c>
      <c r="J90" s="69">
        <f>_xlfn.IFNA(VLOOKUP(TRIM(CONCATENATE(Tableau2[[#This Row],[PRENOM]],Tableau2[[#This Row],[NOM]])),'T6'!$C$5:$E$118,3,FALSE),90)</f>
        <v>90</v>
      </c>
      <c r="K90" s="69">
        <f>_xlfn.IFNA(VLOOKUP(TRIM(CONCATENATE(Tableau2[[#This Row],[PRENOM]],Tableau2[[#This Row],[NOM]])),'T7'!$C$5:$E$106,3,FALSE),90)</f>
        <v>78</v>
      </c>
      <c r="L90" s="130">
        <f t="shared" si="12"/>
        <v>541</v>
      </c>
      <c r="M90" s="186">
        <f t="shared" si="13"/>
        <v>90</v>
      </c>
      <c r="N90" s="72">
        <f t="shared" si="14"/>
        <v>80</v>
      </c>
      <c r="O90" s="33">
        <f t="shared" si="15"/>
        <v>371</v>
      </c>
      <c r="P90" s="33">
        <f>RANK(Tableau2[[#This Row],[SCORE
Final 
2024]],Tableau2[SCORE
Final 
2024],1)</f>
        <v>6</v>
      </c>
    </row>
    <row r="91" spans="1:16" ht="21" customHeight="1" x14ac:dyDescent="0.4">
      <c r="B91" s="63" t="s">
        <v>122</v>
      </c>
      <c r="C91" s="7" t="s">
        <v>66</v>
      </c>
      <c r="D91" s="56" t="s">
        <v>26</v>
      </c>
      <c r="E91" s="34">
        <f>_xlfn.IFNA(VLOOKUP(TRIM(CONCATENATE(Tableau2[[#This Row],[PRENOM]],Tableau2[[#This Row],[NOM]])),'T1'!$C$5:$E$106,3,FALSE),90)</f>
        <v>69</v>
      </c>
      <c r="F91" s="69">
        <f>_xlfn.IFNA(VLOOKUP(TRIM(CONCATENATE(Tableau2[[#This Row],[PRENOM]],Tableau2[[#This Row],[NOM]])),'T2'!$C$5:$E$111,3,FALSE),90)</f>
        <v>90</v>
      </c>
      <c r="G91" s="34">
        <f>_xlfn.IFNA(VLOOKUP(TRIM(CONCATENATE(Tableau2[[#This Row],[PRENOM]],Tableau2[[#This Row],[NOM]])),'T3'!$C$5:$E$107,3,FALSE),90)</f>
        <v>74</v>
      </c>
      <c r="H91" s="34">
        <f>_xlfn.IFNA(VLOOKUP(TRIM(CONCATENATE(Tableau2[[#This Row],[PRENOM]],Tableau2[[#This Row],[NOM]])),'T4'!$C$5:$E$108,3,FALSE),90)</f>
        <v>85</v>
      </c>
      <c r="I91" s="34">
        <f>_xlfn.IFNA(VLOOKUP(TRIM(CONCATENATE(Tableau2[[#This Row],[PRENOM]],Tableau2[[#This Row],[NOM]])),'T5'!$C$5:$E$105,3,FALSE),90)</f>
        <v>79</v>
      </c>
      <c r="J91" s="34">
        <f>_xlfn.IFNA(VLOOKUP(TRIM(CONCATENATE(Tableau2[[#This Row],[PRENOM]],Tableau2[[#This Row],[NOM]])),'T6'!$C$5:$E$118,3,FALSE),90)</f>
        <v>75</v>
      </c>
      <c r="K91" s="34">
        <f>_xlfn.IFNA(VLOOKUP(TRIM(CONCATENATE(Tableau2[[#This Row],[PRENOM]],Tableau2[[#This Row],[NOM]])),'T7'!$C$5:$E$106,3,FALSE),90)</f>
        <v>83</v>
      </c>
      <c r="L91" s="35">
        <f t="shared" si="12"/>
        <v>555</v>
      </c>
      <c r="M91" s="55">
        <f t="shared" si="13"/>
        <v>90</v>
      </c>
      <c r="N91" s="40">
        <f t="shared" si="14"/>
        <v>85</v>
      </c>
      <c r="O91" s="33">
        <f t="shared" si="15"/>
        <v>380</v>
      </c>
      <c r="P91" s="33">
        <f>RANK(Tableau2[[#This Row],[SCORE
Final 
2024]],Tableau2[SCORE
Final 
2024],1)</f>
        <v>7</v>
      </c>
    </row>
    <row r="92" spans="1:16" ht="21" customHeight="1" x14ac:dyDescent="0.4">
      <c r="B92" s="63" t="s">
        <v>271</v>
      </c>
      <c r="C92" s="7" t="s">
        <v>272</v>
      </c>
      <c r="D92" s="26" t="s">
        <v>130</v>
      </c>
      <c r="E92" s="34">
        <f>_xlfn.IFNA(VLOOKUP(TRIM(CONCATENATE(Tableau2[[#This Row],[PRENOM]],Tableau2[[#This Row],[NOM]])),'T1'!$C$5:$E$106,3,FALSE),90)</f>
        <v>90</v>
      </c>
      <c r="F92" s="69">
        <f>_xlfn.IFNA(VLOOKUP(TRIM(CONCATENATE(Tableau2[[#This Row],[PRENOM]],Tableau2[[#This Row],[NOM]])),'T2'!$C$5:$E$111,3,FALSE),90)</f>
        <v>90</v>
      </c>
      <c r="G92" s="34">
        <f>_xlfn.IFNA(VLOOKUP(TRIM(CONCATENATE(Tableau2[[#This Row],[PRENOM]],Tableau2[[#This Row],[NOM]])),'T3'!$C$5:$E$107,3,FALSE),90)</f>
        <v>90</v>
      </c>
      <c r="H92" s="34">
        <f>_xlfn.IFNA(VLOOKUP(TRIM(CONCATENATE(Tableau2[[#This Row],[PRENOM]],Tableau2[[#This Row],[NOM]])),'T4'!$C$5:$E$108,3,FALSE),90)</f>
        <v>75</v>
      </c>
      <c r="I92" s="34">
        <f>_xlfn.IFNA(VLOOKUP(TRIM(CONCATENATE(Tableau2[[#This Row],[PRENOM]],Tableau2[[#This Row],[NOM]])),'T5'!$C$5:$E$105,3,FALSE),90)</f>
        <v>90</v>
      </c>
      <c r="J92" s="34">
        <f>_xlfn.IFNA(VLOOKUP(TRIM(CONCATENATE(Tableau2[[#This Row],[PRENOM]],Tableau2[[#This Row],[NOM]])),'T6'!$C$5:$E$118,3,FALSE),90)</f>
        <v>65</v>
      </c>
      <c r="K92" s="34">
        <f>_xlfn.IFNA(VLOOKUP(TRIM(CONCATENATE(Tableau2[[#This Row],[PRENOM]],Tableau2[[#This Row],[NOM]])),'T7'!$C$5:$E$106,3,FALSE),90)</f>
        <v>67</v>
      </c>
      <c r="L92" s="35">
        <f t="shared" si="12"/>
        <v>567</v>
      </c>
      <c r="M92" s="55">
        <f t="shared" si="13"/>
        <v>90</v>
      </c>
      <c r="N92" s="40">
        <f t="shared" si="14"/>
        <v>90</v>
      </c>
      <c r="O92" s="33">
        <f t="shared" si="15"/>
        <v>387</v>
      </c>
      <c r="P92" s="33">
        <f>RANK(Tableau2[[#This Row],[SCORE
Final 
2024]],Tableau2[SCORE
Final 
2024],1)</f>
        <v>8</v>
      </c>
    </row>
    <row r="93" spans="1:16" ht="21" customHeight="1" x14ac:dyDescent="0.4">
      <c r="B93" s="63" t="s">
        <v>93</v>
      </c>
      <c r="C93" s="7" t="s">
        <v>58</v>
      </c>
      <c r="D93" s="26" t="s">
        <v>130</v>
      </c>
      <c r="E93" s="34">
        <f>_xlfn.IFNA(VLOOKUP(TRIM(CONCATENATE(Tableau2[[#This Row],[PRENOM]],Tableau2[[#This Row],[NOM]])),'T1'!$C$5:$E$106,3,FALSE),90)</f>
        <v>80</v>
      </c>
      <c r="F93" s="69">
        <f>_xlfn.IFNA(VLOOKUP(TRIM(CONCATENATE(Tableau2[[#This Row],[PRENOM]],Tableau2[[#This Row],[NOM]])),'T2'!$C$5:$E$111,3,FALSE),90)</f>
        <v>82</v>
      </c>
      <c r="G93" s="34">
        <f>_xlfn.IFNA(VLOOKUP(TRIM(CONCATENATE(Tableau2[[#This Row],[PRENOM]],Tableau2[[#This Row],[NOM]])),'T3'!$C$5:$E$107,3,FALSE),90)</f>
        <v>67</v>
      </c>
      <c r="H93" s="34">
        <f>_xlfn.IFNA(VLOOKUP(TRIM(CONCATENATE(Tableau2[[#This Row],[PRENOM]],Tableau2[[#This Row],[NOM]])),'T4'!$C$5:$E$108,3,FALSE),90)</f>
        <v>90</v>
      </c>
      <c r="I93" s="34">
        <f>_xlfn.IFNA(VLOOKUP(TRIM(CONCATENATE(Tableau2[[#This Row],[PRENOM]],Tableau2[[#This Row],[NOM]])),'T5'!$C$5:$E$105,3,FALSE),90)</f>
        <v>90</v>
      </c>
      <c r="J93" s="34">
        <v>73</v>
      </c>
      <c r="K93" s="34">
        <f>_xlfn.IFNA(VLOOKUP(TRIM(CONCATENATE(Tableau2[[#This Row],[PRENOM]],Tableau2[[#This Row],[NOM]])),'T7'!$C$5:$E$106,3,FALSE),90)</f>
        <v>90</v>
      </c>
      <c r="L93" s="35">
        <f t="shared" si="12"/>
        <v>572</v>
      </c>
      <c r="M93" s="55">
        <f t="shared" si="13"/>
        <v>90</v>
      </c>
      <c r="N93" s="40">
        <f t="shared" si="14"/>
        <v>90</v>
      </c>
      <c r="O93" s="33">
        <f t="shared" si="15"/>
        <v>392</v>
      </c>
      <c r="P93" s="33">
        <f>RANK(Tableau2[[#This Row],[SCORE
Final 
2024]],Tableau2[SCORE
Final 
2024],1)</f>
        <v>9</v>
      </c>
    </row>
    <row r="94" spans="1:16" ht="21" customHeight="1" x14ac:dyDescent="0.4">
      <c r="B94" s="218" t="s">
        <v>147</v>
      </c>
      <c r="C94" s="68" t="s">
        <v>149</v>
      </c>
      <c r="D94" s="32" t="s">
        <v>74</v>
      </c>
      <c r="E94" s="69">
        <f>_xlfn.IFNA(VLOOKUP(TRIM(CONCATENATE(Tableau2[[#This Row],[PRENOM]],Tableau2[[#This Row],[NOM]])),'T1'!$C$5:$E$106,3,FALSE),90)</f>
        <v>72</v>
      </c>
      <c r="F94" s="69">
        <f>_xlfn.IFNA(VLOOKUP(TRIM(CONCATENATE(Tableau2[[#This Row],[PRENOM]],Tableau2[[#This Row],[NOM]])),'T2'!$C$5:$E$111,3,FALSE),90)</f>
        <v>90</v>
      </c>
      <c r="G94" s="69">
        <f>_xlfn.IFNA(VLOOKUP(TRIM(CONCATENATE(Tableau2[[#This Row],[PRENOM]],Tableau2[[#This Row],[NOM]])),'T3'!$C$5:$E$107,3,FALSE),90)</f>
        <v>90</v>
      </c>
      <c r="H94" s="69">
        <f>_xlfn.IFNA(VLOOKUP(TRIM(CONCATENATE(Tableau2[[#This Row],[PRENOM]],Tableau2[[#This Row],[NOM]])),'T4'!$C$5:$E$108,3,FALSE),90)</f>
        <v>90</v>
      </c>
      <c r="I94" s="69">
        <f>_xlfn.IFNA(VLOOKUP(TRIM(CONCATENATE(Tableau2[[#This Row],[PRENOM]],Tableau2[[#This Row],[NOM]])),'T5'!$C$5:$E$105,3,FALSE),90)</f>
        <v>73</v>
      </c>
      <c r="J94" s="69">
        <f>_xlfn.IFNA(VLOOKUP(TRIM(CONCATENATE(Tableau2[[#This Row],[PRENOM]],Tableau2[[#This Row],[NOM]])),'T6'!$C$5:$E$118,3,FALSE),90)</f>
        <v>90</v>
      </c>
      <c r="K94" s="69">
        <f>_xlfn.IFNA(VLOOKUP(TRIM(CONCATENATE(Tableau2[[#This Row],[PRENOM]],Tableau2[[#This Row],[NOM]])),'T7'!$C$5:$E$106,3,FALSE),90)</f>
        <v>73</v>
      </c>
      <c r="L94" s="130">
        <f t="shared" si="12"/>
        <v>578</v>
      </c>
      <c r="M94" s="186">
        <f t="shared" si="13"/>
        <v>90</v>
      </c>
      <c r="N94" s="72">
        <f t="shared" si="14"/>
        <v>90</v>
      </c>
      <c r="O94" s="33">
        <f t="shared" si="15"/>
        <v>398</v>
      </c>
      <c r="P94" s="33">
        <f>RANK(Tableau2[[#This Row],[SCORE
Final 
2024]],Tableau2[SCORE
Final 
2024],1)</f>
        <v>10</v>
      </c>
    </row>
    <row r="95" spans="1:16" ht="21" customHeight="1" x14ac:dyDescent="0.4">
      <c r="B95" s="131" t="s">
        <v>67</v>
      </c>
      <c r="C95" s="68" t="s">
        <v>68</v>
      </c>
      <c r="D95" s="57" t="s">
        <v>130</v>
      </c>
      <c r="E95" s="69">
        <f>_xlfn.IFNA(VLOOKUP(TRIM(CONCATENATE(Tableau2[[#This Row],[PRENOM]],Tableau2[[#This Row],[NOM]])),'T1'!$C$5:$E$106,3,FALSE),90)</f>
        <v>90</v>
      </c>
      <c r="F95" s="69">
        <f>_xlfn.IFNA(VLOOKUP(TRIM(CONCATENATE(Tableau2[[#This Row],[PRENOM]],Tableau2[[#This Row],[NOM]])),'T2'!$C$5:$E$111,3,FALSE),90)</f>
        <v>80</v>
      </c>
      <c r="G95" s="69">
        <f>_xlfn.IFNA(VLOOKUP(TRIM(CONCATENATE(Tableau2[[#This Row],[PRENOM]],Tableau2[[#This Row],[NOM]])),'T3'!$C$5:$E$107,3,FALSE),90)</f>
        <v>80</v>
      </c>
      <c r="H95" s="69">
        <f>_xlfn.IFNA(VLOOKUP(TRIM(CONCATENATE(Tableau2[[#This Row],[PRENOM]],Tableau2[[#This Row],[NOM]])),'T4'!$C$5:$E$108,3,FALSE),90)</f>
        <v>87</v>
      </c>
      <c r="I95" s="69">
        <f>_xlfn.IFNA(VLOOKUP(TRIM(CONCATENATE(Tableau2[[#This Row],[PRENOM]],Tableau2[[#This Row],[NOM]])),'T5'!$C$5:$E$105,3,FALSE),90)</f>
        <v>85</v>
      </c>
      <c r="J95" s="69">
        <f>_xlfn.IFNA(VLOOKUP(TRIM(CONCATENATE(Tableau2[[#This Row],[PRENOM]],Tableau2[[#This Row],[NOM]])),'T6'!$C$5:$E$118,3,FALSE),90)</f>
        <v>81</v>
      </c>
      <c r="K95" s="69">
        <f>_xlfn.IFNA(VLOOKUP(TRIM(CONCATENATE(Tableau2[[#This Row],[PRENOM]],Tableau2[[#This Row],[NOM]])),'T7'!$C$5:$E$106,3,FALSE),90)</f>
        <v>72</v>
      </c>
      <c r="L95" s="130">
        <f t="shared" si="12"/>
        <v>575</v>
      </c>
      <c r="M95" s="186">
        <f t="shared" si="13"/>
        <v>90</v>
      </c>
      <c r="N95" s="72">
        <f t="shared" si="14"/>
        <v>87</v>
      </c>
      <c r="O95" s="33">
        <f t="shared" si="15"/>
        <v>398</v>
      </c>
      <c r="P95" s="33">
        <f>RANK(Tableau2[[#This Row],[SCORE
Final 
2024]],Tableau2[SCORE
Final 
2024],1)</f>
        <v>10</v>
      </c>
    </row>
    <row r="96" spans="1:16" ht="21" customHeight="1" x14ac:dyDescent="0.4">
      <c r="B96" s="63" t="s">
        <v>114</v>
      </c>
      <c r="C96" s="7" t="s">
        <v>115</v>
      </c>
      <c r="D96" s="28" t="s">
        <v>26</v>
      </c>
      <c r="E96" s="34">
        <f>_xlfn.IFNA(VLOOKUP(TRIM(CONCATENATE(Tableau2[[#This Row],[PRENOM]],Tableau2[[#This Row],[NOM]])),'T1'!$C$5:$E$106,3,FALSE),90)</f>
        <v>64</v>
      </c>
      <c r="F96" s="69">
        <f>_xlfn.IFNA(VLOOKUP(TRIM(CONCATENATE(Tableau2[[#This Row],[PRENOM]],Tableau2[[#This Row],[NOM]])),'T2'!$C$5:$E$111,3,FALSE),90)</f>
        <v>88</v>
      </c>
      <c r="G96" s="34">
        <f>_xlfn.IFNA(VLOOKUP(TRIM(CONCATENATE(Tableau2[[#This Row],[PRENOM]],Tableau2[[#This Row],[NOM]])),'T3'!$C$5:$E$107,3,FALSE),90)</f>
        <v>90</v>
      </c>
      <c r="H96" s="34">
        <f>_xlfn.IFNA(VLOOKUP(TRIM(CONCATENATE(Tableau2[[#This Row],[PRENOM]],Tableau2[[#This Row],[NOM]])),'T4'!$C$5:$E$108,3,FALSE),90)</f>
        <v>90</v>
      </c>
      <c r="I96" s="34">
        <f>_xlfn.IFNA(VLOOKUP(TRIM(CONCATENATE(Tableau2[[#This Row],[PRENOM]],Tableau2[[#This Row],[NOM]])),'T5'!$C$5:$E$105,3,FALSE),90)</f>
        <v>76</v>
      </c>
      <c r="J96" s="34">
        <f>_xlfn.IFNA(VLOOKUP(TRIM(CONCATENATE(Tableau2[[#This Row],[PRENOM]],Tableau2[[#This Row],[NOM]])),'T6'!$C$5:$E$118,3,FALSE),90)</f>
        <v>85</v>
      </c>
      <c r="K96" s="34">
        <f>_xlfn.IFNA(VLOOKUP(TRIM(CONCATENATE(Tableau2[[#This Row],[PRENOM]],Tableau2[[#This Row],[NOM]])),'T7'!$C$5:$E$106,3,FALSE),90)</f>
        <v>90</v>
      </c>
      <c r="L96" s="35">
        <f t="shared" si="12"/>
        <v>583</v>
      </c>
      <c r="M96" s="55">
        <f t="shared" si="13"/>
        <v>90</v>
      </c>
      <c r="N96" s="40">
        <f t="shared" si="14"/>
        <v>90</v>
      </c>
      <c r="O96" s="33">
        <f t="shared" si="15"/>
        <v>403</v>
      </c>
      <c r="P96" s="33">
        <f>RANK(Tableau2[[#This Row],[SCORE
Final 
2024]],Tableau2[SCORE
Final 
2024],1)</f>
        <v>12</v>
      </c>
    </row>
    <row r="97" spans="2:16" ht="21" customHeight="1" x14ac:dyDescent="0.4">
      <c r="B97" s="171" t="s">
        <v>281</v>
      </c>
      <c r="C97" s="7" t="s">
        <v>282</v>
      </c>
      <c r="D97" s="155" t="s">
        <v>13</v>
      </c>
      <c r="E97" s="34">
        <f>_xlfn.IFNA(VLOOKUP(TRIM(CONCATENATE(Tableau2[[#This Row],[PRENOM]],Tableau2[[#This Row],[NOM]])),'T1'!$C$5:$E$106,3,FALSE),90)</f>
        <v>90</v>
      </c>
      <c r="F97" s="217">
        <f>_xlfn.IFNA(VLOOKUP(TRIM(CONCATENATE(Tableau2[[#This Row],[PRENOM]],Tableau2[[#This Row],[NOM]])),'T2'!$C$5:$E$111,3,FALSE),90)</f>
        <v>90</v>
      </c>
      <c r="G97" s="34">
        <f>_xlfn.IFNA(VLOOKUP(TRIM(CONCATENATE(Tableau2[[#This Row],[PRENOM]],Tableau2[[#This Row],[NOM]])),'T3'!$C$5:$E$107,3,FALSE),90)</f>
        <v>90</v>
      </c>
      <c r="H97" s="34">
        <f>_xlfn.IFNA(VLOOKUP(TRIM(CONCATENATE(Tableau2[[#This Row],[PRENOM]],Tableau2[[#This Row],[NOM]])),'T4'!$C$5:$E$108,3,FALSE),90)</f>
        <v>90</v>
      </c>
      <c r="I97" s="34">
        <f>_xlfn.IFNA(VLOOKUP(TRIM(CONCATENATE(Tableau2[[#This Row],[PRENOM]],Tableau2[[#This Row],[NOM]])),'T5'!$C$5:$E$105,3,FALSE),90)</f>
        <v>67</v>
      </c>
      <c r="J97" s="34">
        <f>_xlfn.IFNA(VLOOKUP(TRIM(CONCATENATE(Tableau2[[#This Row],[PRENOM]],Tableau2[[#This Row],[NOM]])),'T6'!$C$5:$E$118,3,FALSE),90)</f>
        <v>71</v>
      </c>
      <c r="K97" s="34">
        <f>_xlfn.IFNA(VLOOKUP(TRIM(CONCATENATE(Tableau2[[#This Row],[PRENOM]],Tableau2[[#This Row],[NOM]])),'T7'!$C$5:$E$106,3,FALSE),90)</f>
        <v>90</v>
      </c>
      <c r="L97" s="35">
        <f t="shared" si="12"/>
        <v>588</v>
      </c>
      <c r="M97" s="38">
        <f t="shared" si="13"/>
        <v>90</v>
      </c>
      <c r="N97" s="40">
        <f t="shared" si="14"/>
        <v>90</v>
      </c>
      <c r="O97" s="33">
        <f t="shared" si="15"/>
        <v>408</v>
      </c>
      <c r="P97" s="33">
        <f>RANK(Tableau2[[#This Row],[SCORE
Final 
2024]],Tableau2[SCORE
Final 
2024],1)</f>
        <v>13</v>
      </c>
    </row>
    <row r="98" spans="2:16" ht="21" customHeight="1" x14ac:dyDescent="0.4">
      <c r="B98" s="162" t="s">
        <v>175</v>
      </c>
      <c r="C98" s="7" t="s">
        <v>176</v>
      </c>
      <c r="D98" s="56" t="s">
        <v>26</v>
      </c>
      <c r="E98" s="34">
        <f>_xlfn.IFNA(VLOOKUP(TRIM(CONCATENATE(Tableau2[[#This Row],[PRENOM]],Tableau2[[#This Row],[NOM]])),'T1'!$C$5:$E$106,3,FALSE),90)</f>
        <v>73</v>
      </c>
      <c r="F98" s="69">
        <f>_xlfn.IFNA(VLOOKUP(TRIM(CONCATENATE(Tableau2[[#This Row],[PRENOM]],Tableau2[[#This Row],[NOM]])),'T2'!$C$5:$E$111,3,FALSE),90)</f>
        <v>90</v>
      </c>
      <c r="G98" s="34">
        <f>_xlfn.IFNA(VLOOKUP(TRIM(CONCATENATE(Tableau2[[#This Row],[PRENOM]],Tableau2[[#This Row],[NOM]])),'T3'!$C$5:$E$107,3,FALSE),90)</f>
        <v>90</v>
      </c>
      <c r="H98" s="34">
        <f>_xlfn.IFNA(VLOOKUP(TRIM(CONCATENATE(Tableau2[[#This Row],[PRENOM]],Tableau2[[#This Row],[NOM]])),'T4'!$C$5:$E$108,3,FALSE),90)</f>
        <v>90</v>
      </c>
      <c r="I98" s="34">
        <f>_xlfn.IFNA(VLOOKUP(TRIM(CONCATENATE(Tableau2[[#This Row],[PRENOM]],Tableau2[[#This Row],[NOM]])),'T5'!$C$5:$E$105,3,FALSE),90)</f>
        <v>73</v>
      </c>
      <c r="J98" s="34">
        <f>_xlfn.IFNA(VLOOKUP(TRIM(CONCATENATE(Tableau2[[#This Row],[PRENOM]],Tableau2[[#This Row],[NOM]])),'T6'!$C$5:$E$118,3,FALSE),90)</f>
        <v>83</v>
      </c>
      <c r="K98" s="34">
        <f>_xlfn.IFNA(VLOOKUP(TRIM(CONCATENATE(Tableau2[[#This Row],[PRENOM]],Tableau2[[#This Row],[NOM]])),'T7'!$C$5:$E$106,3,FALSE),90)</f>
        <v>90</v>
      </c>
      <c r="L98" s="73">
        <f t="shared" si="12"/>
        <v>589</v>
      </c>
      <c r="M98" s="75">
        <f t="shared" si="13"/>
        <v>90</v>
      </c>
      <c r="N98" s="187">
        <f t="shared" si="14"/>
        <v>90</v>
      </c>
      <c r="O98" s="70">
        <f t="shared" si="15"/>
        <v>409</v>
      </c>
      <c r="P98" s="70">
        <f>RANK(Tableau2[[#This Row],[SCORE
Final 
2024]],Tableau2[SCORE
Final 
2024],1)</f>
        <v>14</v>
      </c>
    </row>
    <row r="99" spans="2:16" ht="21" customHeight="1" x14ac:dyDescent="0.4">
      <c r="B99" s="254" t="s">
        <v>177</v>
      </c>
      <c r="C99" s="256" t="s">
        <v>253</v>
      </c>
      <c r="D99" s="28" t="s">
        <v>26</v>
      </c>
      <c r="E99" s="34">
        <f>_xlfn.IFNA(VLOOKUP(TRIM(CONCATENATE(Tableau2[[#This Row],[PRENOM]],Tableau2[[#This Row],[NOM]])),'T1'!$C$5:$E$106,3,FALSE),90)</f>
        <v>90</v>
      </c>
      <c r="F99" s="69">
        <f>_xlfn.IFNA(VLOOKUP(TRIM(CONCATENATE(Tableau2[[#This Row],[PRENOM]],Tableau2[[#This Row],[NOM]])),'T2'!$C$5:$E$111,3,FALSE),90)</f>
        <v>90</v>
      </c>
      <c r="G99" s="34">
        <f>_xlfn.IFNA(VLOOKUP(TRIM(CONCATENATE(Tableau2[[#This Row],[PRENOM]],Tableau2[[#This Row],[NOM]])),'T3'!$C$5:$E$107,3,FALSE),90)</f>
        <v>70</v>
      </c>
      <c r="H99" s="34">
        <f>_xlfn.IFNA(VLOOKUP(TRIM(CONCATENATE(Tableau2[[#This Row],[PRENOM]],Tableau2[[#This Row],[NOM]])),'T4'!$C$5:$E$108,3,FALSE),90)</f>
        <v>90</v>
      </c>
      <c r="I99" s="34">
        <f>_xlfn.IFNA(VLOOKUP(TRIM(CONCATENATE(Tableau2[[#This Row],[PRENOM]],Tableau2[[#This Row],[NOM]])),'T5'!$C$5:$E$105,3,FALSE),90)</f>
        <v>90</v>
      </c>
      <c r="J99" s="34">
        <f>_xlfn.IFNA(VLOOKUP(TRIM(CONCATENATE(Tableau2[[#This Row],[PRENOM]],Tableau2[[#This Row],[NOM]])),'T6'!$C$5:$E$118,3,FALSE),90)</f>
        <v>90</v>
      </c>
      <c r="K99" s="34">
        <f>_xlfn.IFNA(VLOOKUP(TRIM(CONCATENATE(Tableau2[[#This Row],[PRENOM]],Tableau2[[#This Row],[NOM]])),'T7'!$C$5:$E$106,3,FALSE),90)</f>
        <v>70</v>
      </c>
      <c r="L99" s="73">
        <f t="shared" si="12"/>
        <v>590</v>
      </c>
      <c r="M99" s="75">
        <f t="shared" si="13"/>
        <v>90</v>
      </c>
      <c r="N99" s="187">
        <f t="shared" si="14"/>
        <v>90</v>
      </c>
      <c r="O99" s="70">
        <f t="shared" si="15"/>
        <v>410</v>
      </c>
      <c r="P99" s="70">
        <f>RANK(Tableau2[[#This Row],[SCORE
Final 
2024]],Tableau2[SCORE
Final 
2024],1)</f>
        <v>15</v>
      </c>
    </row>
    <row r="100" spans="2:16" ht="21" customHeight="1" x14ac:dyDescent="0.4">
      <c r="B100" s="131" t="s">
        <v>170</v>
      </c>
      <c r="C100" s="68" t="s">
        <v>171</v>
      </c>
      <c r="D100" s="57" t="s">
        <v>130</v>
      </c>
      <c r="E100" s="69">
        <f>_xlfn.IFNA(VLOOKUP(TRIM(CONCATENATE(Tableau2[[#This Row],[PRENOM]],Tableau2[[#This Row],[NOM]])),'T1'!$C$5:$E$106,3,FALSE),90)</f>
        <v>70</v>
      </c>
      <c r="F100" s="69">
        <f>_xlfn.IFNA(VLOOKUP(TRIM(CONCATENATE(Tableau2[[#This Row],[PRENOM]],Tableau2[[#This Row],[NOM]])),'T2'!$C$5:$E$111,3,FALSE),90)</f>
        <v>90</v>
      </c>
      <c r="G100" s="69">
        <f>_xlfn.IFNA(VLOOKUP(TRIM(CONCATENATE(Tableau2[[#This Row],[PRENOM]],Tableau2[[#This Row],[NOM]])),'T3'!$C$5:$E$107,3,FALSE),90)</f>
        <v>90</v>
      </c>
      <c r="H100" s="69">
        <f>_xlfn.IFNA(VLOOKUP(TRIM(CONCATENATE(Tableau2[[#This Row],[PRENOM]],Tableau2[[#This Row],[NOM]])),'T4'!$C$5:$E$108,3,FALSE),90)</f>
        <v>74</v>
      </c>
      <c r="I100" s="69">
        <f>_xlfn.IFNA(VLOOKUP(TRIM(CONCATENATE(Tableau2[[#This Row],[PRENOM]],Tableau2[[#This Row],[NOM]])),'T5'!$C$5:$E$105,3,FALSE),90)</f>
        <v>90</v>
      </c>
      <c r="J100" s="69">
        <f>_xlfn.IFNA(VLOOKUP(TRIM(CONCATENATE(Tableau2[[#This Row],[PRENOM]],Tableau2[[#This Row],[NOM]])),'T6'!$C$5:$E$118,3,FALSE),90)</f>
        <v>90</v>
      </c>
      <c r="K100" s="69">
        <f>_xlfn.IFNA(VLOOKUP(TRIM(CONCATENATE(Tableau2[[#This Row],[PRENOM]],Tableau2[[#This Row],[NOM]])),'T7'!$C$5:$E$106,3,FALSE),90)</f>
        <v>90</v>
      </c>
      <c r="L100" s="250">
        <f t="shared" si="12"/>
        <v>594</v>
      </c>
      <c r="M100" s="156">
        <f t="shared" si="13"/>
        <v>90</v>
      </c>
      <c r="N100" s="157">
        <f t="shared" si="14"/>
        <v>90</v>
      </c>
      <c r="O100" s="70">
        <f t="shared" si="15"/>
        <v>414</v>
      </c>
      <c r="P100" s="70">
        <f>RANK(Tableau2[[#This Row],[SCORE
Final 
2024]],Tableau2[SCORE
Final 
2024],1)</f>
        <v>16</v>
      </c>
    </row>
    <row r="101" spans="2:16" ht="21" customHeight="1" x14ac:dyDescent="0.4">
      <c r="B101" s="218" t="s">
        <v>143</v>
      </c>
      <c r="C101" s="218" t="s">
        <v>144</v>
      </c>
      <c r="D101" s="28" t="s">
        <v>26</v>
      </c>
      <c r="E101" s="34">
        <f>_xlfn.IFNA(VLOOKUP(TRIM(CONCATENATE(Tableau2[[#This Row],[PRENOM]],Tableau2[[#This Row],[NOM]])),'T1'!$C$5:$E$106,3,FALSE),90)</f>
        <v>79</v>
      </c>
      <c r="F101" s="69">
        <f>_xlfn.IFNA(VLOOKUP(TRIM(CONCATENATE(Tableau2[[#This Row],[PRENOM]],Tableau2[[#This Row],[NOM]])),'T2'!$C$5:$E$111,3,FALSE),90)</f>
        <v>82</v>
      </c>
      <c r="G101" s="34">
        <f>_xlfn.IFNA(VLOOKUP(TRIM(CONCATENATE(Tableau2[[#This Row],[PRENOM]],Tableau2[[#This Row],[NOM]])),'T3'!$C$5:$E$107,3,FALSE),90)</f>
        <v>90</v>
      </c>
      <c r="H101" s="34">
        <f>_xlfn.IFNA(VLOOKUP(TRIM(CONCATENATE(Tableau2[[#This Row],[PRENOM]],Tableau2[[#This Row],[NOM]])),'T4'!$C$5:$E$108,3,FALSE),90)</f>
        <v>90</v>
      </c>
      <c r="I101" s="34">
        <f>_xlfn.IFNA(VLOOKUP(TRIM(CONCATENATE(Tableau2[[#This Row],[PRENOM]],Tableau2[[#This Row],[NOM]])),'T5'!$C$5:$E$105,3,FALSE),90)</f>
        <v>90</v>
      </c>
      <c r="J101" s="34">
        <f>_xlfn.IFNA(VLOOKUP(TRIM(CONCATENATE(Tableau2[[#This Row],[PRENOM]],Tableau2[[#This Row],[NOM]])),'T6'!$C$5:$E$118,3,FALSE),90)</f>
        <v>90</v>
      </c>
      <c r="K101" s="34">
        <v>81</v>
      </c>
      <c r="L101" s="35">
        <f t="shared" si="12"/>
        <v>602</v>
      </c>
      <c r="M101" s="55">
        <f t="shared" si="13"/>
        <v>90</v>
      </c>
      <c r="N101" s="40">
        <f t="shared" si="14"/>
        <v>90</v>
      </c>
      <c r="O101" s="33">
        <f t="shared" si="15"/>
        <v>422</v>
      </c>
      <c r="P101" s="33">
        <f>RANK(Tableau2[[#This Row],[SCORE
Final 
2024]],Tableau2[SCORE
Final 
2024],1)</f>
        <v>17</v>
      </c>
    </row>
    <row r="102" spans="2:16" ht="21" customHeight="1" x14ac:dyDescent="0.4">
      <c r="B102" s="63" t="s">
        <v>293</v>
      </c>
      <c r="C102" s="7" t="s">
        <v>294</v>
      </c>
      <c r="D102" s="155" t="s">
        <v>13</v>
      </c>
      <c r="E102" s="34">
        <f>_xlfn.IFNA(VLOOKUP(TRIM(CONCATENATE(Tableau2[[#This Row],[PRENOM]],Tableau2[[#This Row],[NOM]])),'T1'!$C$5:$E$106,3,FALSE),90)</f>
        <v>90</v>
      </c>
      <c r="F102" s="217">
        <f>_xlfn.IFNA(VLOOKUP(TRIM(CONCATENATE(Tableau2[[#This Row],[PRENOM]],Tableau2[[#This Row],[NOM]])),'T2'!$C$5:$E$111,3,FALSE),90)</f>
        <v>90</v>
      </c>
      <c r="G102" s="34">
        <f>_xlfn.IFNA(VLOOKUP(TRIM(CONCATENATE(Tableau2[[#This Row],[PRENOM]],Tableau2[[#This Row],[NOM]])),'T3'!$C$5:$E$107,3,FALSE),90)</f>
        <v>90</v>
      </c>
      <c r="H102" s="34">
        <f>_xlfn.IFNA(VLOOKUP(TRIM(CONCATENATE(Tableau2[[#This Row],[PRENOM]],Tableau2[[#This Row],[NOM]])),'T4'!$C$5:$E$108,3,FALSE),90)</f>
        <v>90</v>
      </c>
      <c r="I102" s="34">
        <f>_xlfn.IFNA(VLOOKUP(TRIM(CONCATENATE(Tableau2[[#This Row],[PRENOM]],Tableau2[[#This Row],[NOM]])),'T5'!$C$5:$E$105,3,FALSE),90)</f>
        <v>90</v>
      </c>
      <c r="J102" s="34">
        <f>_xlfn.IFNA(VLOOKUP(TRIM(CONCATENATE(Tableau2[[#This Row],[PRENOM]],Tableau2[[#This Row],[NOM]])),'T6'!$C$5:$E$118,3,FALSE),90)</f>
        <v>62</v>
      </c>
      <c r="K102" s="34">
        <f>_xlfn.IFNA(VLOOKUP(TRIM(CONCATENATE(Tableau2[[#This Row],[PRENOM]],Tableau2[[#This Row],[NOM]])),'T7'!$C$5:$E$106,3,FALSE),90)</f>
        <v>90</v>
      </c>
      <c r="L102" s="35">
        <f t="shared" si="12"/>
        <v>602</v>
      </c>
      <c r="M102" s="38">
        <f t="shared" si="13"/>
        <v>90</v>
      </c>
      <c r="N102" s="40">
        <f t="shared" si="14"/>
        <v>90</v>
      </c>
      <c r="O102" s="33">
        <f t="shared" si="15"/>
        <v>422</v>
      </c>
      <c r="P102" s="33">
        <f>RANK(Tableau2[[#This Row],[SCORE
Final 
2024]],Tableau2[SCORE
Final 
2024],1)</f>
        <v>17</v>
      </c>
    </row>
    <row r="103" spans="2:16" ht="21" customHeight="1" x14ac:dyDescent="0.4">
      <c r="B103" s="64" t="s">
        <v>107</v>
      </c>
      <c r="C103" s="15" t="s">
        <v>108</v>
      </c>
      <c r="D103" s="57" t="s">
        <v>130</v>
      </c>
      <c r="E103" s="69">
        <f>_xlfn.IFNA(VLOOKUP(TRIM(CONCATENATE(Tableau2[[#This Row],[PRENOM]],Tableau2[[#This Row],[NOM]])),'T1'!$C$5:$E$106,3,FALSE),90)</f>
        <v>90</v>
      </c>
      <c r="F103" s="69">
        <f>_xlfn.IFNA(VLOOKUP(TRIM(CONCATENATE(Tableau2[[#This Row],[PRENOM]],Tableau2[[#This Row],[NOM]])),'T2'!$C$5:$E$111,3,FALSE),90)</f>
        <v>78</v>
      </c>
      <c r="G103" s="69">
        <f>_xlfn.IFNA(VLOOKUP(TRIM(CONCATENATE(Tableau2[[#This Row],[PRENOM]],Tableau2[[#This Row],[NOM]])),'T3'!$C$5:$E$107,3,FALSE),90)</f>
        <v>90</v>
      </c>
      <c r="H103" s="69">
        <f>_xlfn.IFNA(VLOOKUP(TRIM(CONCATENATE(Tableau2[[#This Row],[PRENOM]],Tableau2[[#This Row],[NOM]])),'T4'!$C$5:$E$108,3,FALSE),90)</f>
        <v>90</v>
      </c>
      <c r="I103" s="69">
        <f>_xlfn.IFNA(VLOOKUP(TRIM(CONCATENATE(Tableau2[[#This Row],[PRENOM]],Tableau2[[#This Row],[NOM]])),'T5'!$C$5:$E$105,3,FALSE),90)</f>
        <v>90</v>
      </c>
      <c r="J103" s="69">
        <f>_xlfn.IFNA(VLOOKUP(TRIM(CONCATENATE(Tableau2[[#This Row],[PRENOM]],Tableau2[[#This Row],[NOM]])),'T6'!$C$5:$E$118,3,FALSE),90)</f>
        <v>74</v>
      </c>
      <c r="K103" s="69">
        <f>_xlfn.IFNA(VLOOKUP(TRIM(CONCATENATE(Tableau2[[#This Row],[PRENOM]],Tableau2[[#This Row],[NOM]])),'T7'!$C$5:$E$106,3,FALSE),90)</f>
        <v>90</v>
      </c>
      <c r="L103" s="130">
        <f t="shared" si="12"/>
        <v>602</v>
      </c>
      <c r="M103" s="186">
        <f t="shared" si="13"/>
        <v>90</v>
      </c>
      <c r="N103" s="72">
        <f t="shared" si="14"/>
        <v>90</v>
      </c>
      <c r="O103" s="33">
        <f t="shared" si="15"/>
        <v>422</v>
      </c>
      <c r="P103" s="33">
        <f>RANK(Tableau2[[#This Row],[SCORE
Final 
2024]],Tableau2[SCORE
Final 
2024],1)</f>
        <v>17</v>
      </c>
    </row>
    <row r="104" spans="2:16" ht="21" customHeight="1" x14ac:dyDescent="0.4">
      <c r="B104" s="64" t="s">
        <v>141</v>
      </c>
      <c r="C104" s="15" t="s">
        <v>142</v>
      </c>
      <c r="D104" s="223" t="s">
        <v>74</v>
      </c>
      <c r="E104" s="69">
        <f>_xlfn.IFNA(VLOOKUP(TRIM(CONCATENATE(Tableau2[[#This Row],[PRENOM]],Tableau2[[#This Row],[NOM]])),'T1'!$C$5:$E$106,3,FALSE),90)</f>
        <v>90</v>
      </c>
      <c r="F104" s="69">
        <f>_xlfn.IFNA(VLOOKUP(TRIM(CONCATENATE(Tableau2[[#This Row],[PRENOM]],Tableau2[[#This Row],[NOM]])),'T2'!$C$5:$E$111,3,FALSE),90)</f>
        <v>90</v>
      </c>
      <c r="G104" s="69">
        <f>_xlfn.IFNA(VLOOKUP(TRIM(CONCATENATE(Tableau2[[#This Row],[PRENOM]],Tableau2[[#This Row],[NOM]])),'T3'!$C$5:$E$107,3,FALSE),90)</f>
        <v>63</v>
      </c>
      <c r="H104" s="69">
        <f>_xlfn.IFNA(VLOOKUP(TRIM(CONCATENATE(Tableau2[[#This Row],[PRENOM]],Tableau2[[#This Row],[NOM]])),'T4'!$C$5:$E$108,3,FALSE),90)</f>
        <v>90</v>
      </c>
      <c r="I104" s="69">
        <f>_xlfn.IFNA(VLOOKUP(TRIM(CONCATENATE(Tableau2[[#This Row],[PRENOM]],Tableau2[[#This Row],[NOM]])),'T5'!$C$5:$E$105,3,FALSE),90)</f>
        <v>90</v>
      </c>
      <c r="J104" s="69">
        <f>_xlfn.IFNA(VLOOKUP(TRIM(CONCATENATE(Tableau2[[#This Row],[PRENOM]],Tableau2[[#This Row],[NOM]])),'T6'!$C$5:$E$118,3,FALSE),90)</f>
        <v>90</v>
      </c>
      <c r="K104" s="69">
        <f>_xlfn.IFNA(VLOOKUP(TRIM(CONCATENATE(Tableau2[[#This Row],[PRENOM]],Tableau2[[#This Row],[NOM]])),'T7'!$C$5:$E$106,3,FALSE),90)</f>
        <v>90</v>
      </c>
      <c r="L104" s="130">
        <f t="shared" si="12"/>
        <v>603</v>
      </c>
      <c r="M104" s="186">
        <f t="shared" si="13"/>
        <v>90</v>
      </c>
      <c r="N104" s="72">
        <f t="shared" si="14"/>
        <v>90</v>
      </c>
      <c r="O104" s="33">
        <f t="shared" si="15"/>
        <v>423</v>
      </c>
      <c r="P104" s="33">
        <f>RANK(Tableau2[[#This Row],[SCORE
Final 
2024]],Tableau2[SCORE
Final 
2024],1)</f>
        <v>20</v>
      </c>
    </row>
    <row r="105" spans="2:16" ht="21" customHeight="1" x14ac:dyDescent="0.4">
      <c r="B105" s="255" t="s">
        <v>312</v>
      </c>
      <c r="C105" s="15" t="s">
        <v>59</v>
      </c>
      <c r="D105" s="233" t="s">
        <v>26</v>
      </c>
      <c r="E105" s="34">
        <f>_xlfn.IFNA(VLOOKUP(TRIM(CONCATENATE(Tableau2[[#This Row],[PRENOM]],Tableau2[[#This Row],[NOM]])),'T1'!$C$5:$E$106,3,FALSE),90)</f>
        <v>90</v>
      </c>
      <c r="F105" s="69">
        <f>_xlfn.IFNA(VLOOKUP(TRIM(CONCATENATE(Tableau2[[#This Row],[PRENOM]],Tableau2[[#This Row],[NOM]])),'T2'!$C$5:$E$111,3,FALSE),90)</f>
        <v>90</v>
      </c>
      <c r="G105" s="34">
        <f>_xlfn.IFNA(VLOOKUP(TRIM(CONCATENATE(Tableau2[[#This Row],[PRENOM]],Tableau2[[#This Row],[NOM]])),'T3'!$C$5:$E$107,3,FALSE),90)</f>
        <v>90</v>
      </c>
      <c r="H105" s="34">
        <f>_xlfn.IFNA(VLOOKUP(TRIM(CONCATENATE(Tableau2[[#This Row],[PRENOM]],Tableau2[[#This Row],[NOM]])),'T4'!$C$5:$E$108,3,FALSE),90)</f>
        <v>90</v>
      </c>
      <c r="I105" s="34">
        <f>_xlfn.IFNA(VLOOKUP(TRIM(CONCATENATE(Tableau2[[#This Row],[PRENOM]],Tableau2[[#This Row],[NOM]])),'T5'!$C$5:$E$105,3,FALSE),90)</f>
        <v>90</v>
      </c>
      <c r="J105" s="34">
        <f>_xlfn.IFNA(VLOOKUP(TRIM(CONCATENATE(Tableau2[[#This Row],[PRENOM]],Tableau2[[#This Row],[NOM]])),'T6'!$C$5:$E$118,3,FALSE),90)</f>
        <v>90</v>
      </c>
      <c r="K105" s="34">
        <f>_xlfn.IFNA(VLOOKUP(TRIM(CONCATENATE(Tableau2[[#This Row],[PRENOM]],Tableau2[[#This Row],[NOM]])),'T7'!$C$5:$E$106,3,FALSE),90)</f>
        <v>67</v>
      </c>
      <c r="L105" s="35">
        <f t="shared" si="12"/>
        <v>607</v>
      </c>
      <c r="M105" s="55">
        <f t="shared" si="13"/>
        <v>90</v>
      </c>
      <c r="N105" s="40">
        <f t="shared" si="14"/>
        <v>90</v>
      </c>
      <c r="O105" s="33">
        <f t="shared" si="15"/>
        <v>427</v>
      </c>
      <c r="P105" s="33">
        <f>RANK(Tableau2[[#This Row],[SCORE
Final 
2024]],Tableau2[SCORE
Final 
2024],1)</f>
        <v>21</v>
      </c>
    </row>
    <row r="106" spans="2:16" ht="21" customHeight="1" x14ac:dyDescent="0.4">
      <c r="B106" s="63" t="s">
        <v>53</v>
      </c>
      <c r="C106" s="7" t="s">
        <v>58</v>
      </c>
      <c r="D106" s="31" t="s">
        <v>13</v>
      </c>
      <c r="E106" s="34">
        <f>_xlfn.IFNA(VLOOKUP(TRIM(CONCATENATE(Tableau2[[#This Row],[PRENOM]],Tableau2[[#This Row],[NOM]])),'T1'!$C$5:$E$106,3,FALSE),90)</f>
        <v>90</v>
      </c>
      <c r="F106" s="69">
        <f>_xlfn.IFNA(VLOOKUP(TRIM(CONCATENATE(Tableau2[[#This Row],[PRENOM]],Tableau2[[#This Row],[NOM]])),'T2'!$C$5:$E$111,3,FALSE),90)</f>
        <v>90</v>
      </c>
      <c r="G106" s="34">
        <f>_xlfn.IFNA(VLOOKUP(TRIM(CONCATENATE(Tableau2[[#This Row],[PRENOM]],Tableau2[[#This Row],[NOM]])),'T3'!$C$5:$E$107,3,FALSE),90)</f>
        <v>90</v>
      </c>
      <c r="H106" s="34">
        <f>_xlfn.IFNA(VLOOKUP(TRIM(CONCATENATE(Tableau2[[#This Row],[PRENOM]],Tableau2[[#This Row],[NOM]])),'T4'!$C$5:$E$108,3,FALSE),90)</f>
        <v>75</v>
      </c>
      <c r="I106" s="34">
        <f>_xlfn.IFNA(VLOOKUP(TRIM(CONCATENATE(Tableau2[[#This Row],[PRENOM]],Tableau2[[#This Row],[NOM]])),'T5'!$C$5:$E$105,3,FALSE),90)</f>
        <v>85</v>
      </c>
      <c r="J106" s="34">
        <f>_xlfn.IFNA(VLOOKUP(TRIM(CONCATENATE(Tableau2[[#This Row],[PRENOM]],Tableau2[[#This Row],[NOM]])),'T6'!$C$5:$E$118,3,FALSE),90)</f>
        <v>90</v>
      </c>
      <c r="K106" s="34">
        <f>_xlfn.IFNA(VLOOKUP(TRIM(CONCATENATE(Tableau2[[#This Row],[PRENOM]],Tableau2[[#This Row],[NOM]])),'T7'!$C$5:$E$106,3,FALSE),90)</f>
        <v>90</v>
      </c>
      <c r="L106" s="35">
        <f t="shared" si="12"/>
        <v>610</v>
      </c>
      <c r="M106" s="55">
        <f t="shared" si="13"/>
        <v>90</v>
      </c>
      <c r="N106" s="40">
        <f t="shared" si="14"/>
        <v>90</v>
      </c>
      <c r="O106" s="33">
        <f t="shared" si="15"/>
        <v>430</v>
      </c>
      <c r="P106" s="33">
        <f>RANK(Tableau2[[#This Row],[SCORE
Final 
2024]],Tableau2[SCORE
Final 
2024],1)</f>
        <v>22</v>
      </c>
    </row>
    <row r="107" spans="2:16" ht="21" customHeight="1" x14ac:dyDescent="0.4">
      <c r="B107" s="218" t="s">
        <v>134</v>
      </c>
      <c r="C107" s="218" t="s">
        <v>135</v>
      </c>
      <c r="D107" s="26" t="s">
        <v>130</v>
      </c>
      <c r="E107" s="34">
        <f>_xlfn.IFNA(VLOOKUP(TRIM(CONCATENATE(Tableau2[[#This Row],[PRENOM]],Tableau2[[#This Row],[NOM]])),'T1'!$C$5:$E$106,3,FALSE),90)</f>
        <v>90</v>
      </c>
      <c r="F107" s="69">
        <f>_xlfn.IFNA(VLOOKUP(TRIM(CONCATENATE(Tableau2[[#This Row],[PRENOM]],Tableau2[[#This Row],[NOM]])),'T2'!$C$5:$E$111,3,FALSE),90)</f>
        <v>90</v>
      </c>
      <c r="G107" s="34">
        <f>_xlfn.IFNA(VLOOKUP(TRIM(CONCATENATE(Tableau2[[#This Row],[PRENOM]],Tableau2[[#This Row],[NOM]])),'T3'!$C$5:$E$107,3,FALSE),90)</f>
        <v>71</v>
      </c>
      <c r="H107" s="34">
        <f>_xlfn.IFNA(VLOOKUP(TRIM(CONCATENATE(Tableau2[[#This Row],[PRENOM]],Tableau2[[#This Row],[NOM]])),'T4'!$C$5:$E$108,3,FALSE),90)</f>
        <v>90</v>
      </c>
      <c r="I107" s="34">
        <f>_xlfn.IFNA(VLOOKUP(TRIM(CONCATENATE(Tableau2[[#This Row],[PRENOM]],Tableau2[[#This Row],[NOM]])),'T5'!$C$5:$E$105,3,FALSE),90)</f>
        <v>90</v>
      </c>
      <c r="J107" s="34">
        <f>_xlfn.IFNA(VLOOKUP(TRIM(CONCATENATE(Tableau2[[#This Row],[PRENOM]],Tableau2[[#This Row],[NOM]])),'T6'!$C$5:$E$118,3,FALSE),90)</f>
        <v>90</v>
      </c>
      <c r="K107" s="34">
        <f>_xlfn.IFNA(VLOOKUP(TRIM(CONCATENATE(Tableau2[[#This Row],[PRENOM]],Tableau2[[#This Row],[NOM]])),'T7'!$C$5:$E$106,3,FALSE),90)</f>
        <v>90</v>
      </c>
      <c r="L107" s="35">
        <f t="shared" si="12"/>
        <v>611</v>
      </c>
      <c r="M107" s="55">
        <f t="shared" si="13"/>
        <v>90</v>
      </c>
      <c r="N107" s="40">
        <f t="shared" si="14"/>
        <v>90</v>
      </c>
      <c r="O107" s="33">
        <f t="shared" si="15"/>
        <v>431</v>
      </c>
      <c r="P107" s="33">
        <f>RANK(Tableau2[[#This Row],[SCORE
Final 
2024]],Tableau2[SCORE
Final 
2024],1)</f>
        <v>23</v>
      </c>
    </row>
    <row r="108" spans="2:16" ht="21" customHeight="1" x14ac:dyDescent="0.4">
      <c r="B108" s="63" t="s">
        <v>20</v>
      </c>
      <c r="C108" s="7" t="s">
        <v>101</v>
      </c>
      <c r="D108" s="57" t="s">
        <v>130</v>
      </c>
      <c r="E108" s="34">
        <f>_xlfn.IFNA(VLOOKUP(TRIM(CONCATENATE(Tableau2[[#This Row],[PRENOM]],Tableau2[[#This Row],[NOM]])),'T1'!$C$5:$E$106,3,FALSE),90)</f>
        <v>90</v>
      </c>
      <c r="F108" s="69">
        <f>_xlfn.IFNA(VLOOKUP(TRIM(CONCATENATE(Tableau2[[#This Row],[PRENOM]],Tableau2[[#This Row],[NOM]])),'T2'!$C$5:$E$111,3,FALSE),90)</f>
        <v>83</v>
      </c>
      <c r="G108" s="34">
        <f>_xlfn.IFNA(VLOOKUP(TRIM(CONCATENATE(Tableau2[[#This Row],[PRENOM]],Tableau2[[#This Row],[NOM]])),'T3'!$C$5:$E$107,3,FALSE),90)</f>
        <v>90</v>
      </c>
      <c r="H108" s="34">
        <f>_xlfn.IFNA(VLOOKUP(TRIM(CONCATENATE(Tableau2[[#This Row],[PRENOM]],Tableau2[[#This Row],[NOM]])),'T4'!$C$5:$E$108,3,FALSE),90)</f>
        <v>83</v>
      </c>
      <c r="I108" s="34">
        <f>_xlfn.IFNA(VLOOKUP(TRIM(CONCATENATE(Tableau2[[#This Row],[PRENOM]],Tableau2[[#This Row],[NOM]])),'T5'!$C$5:$E$105,3,FALSE),90)</f>
        <v>90</v>
      </c>
      <c r="J108" s="34">
        <f>_xlfn.IFNA(VLOOKUP(TRIM(CONCATENATE(Tableau2[[#This Row],[PRENOM]],Tableau2[[#This Row],[NOM]])),'T6'!$C$5:$E$118,3,FALSE),90)</f>
        <v>85</v>
      </c>
      <c r="K108" s="34">
        <f>_xlfn.IFNA(VLOOKUP(TRIM(CONCATENATE(Tableau2[[#This Row],[PRENOM]],Tableau2[[#This Row],[NOM]])),'T7'!$C$5:$E$106,3,FALSE),90)</f>
        <v>90</v>
      </c>
      <c r="L108" s="35">
        <f t="shared" si="12"/>
        <v>611</v>
      </c>
      <c r="M108" s="55">
        <f t="shared" si="13"/>
        <v>90</v>
      </c>
      <c r="N108" s="40">
        <f t="shared" si="14"/>
        <v>90</v>
      </c>
      <c r="O108" s="33">
        <f t="shared" si="15"/>
        <v>431</v>
      </c>
      <c r="P108" s="33">
        <f>RANK(Tableau2[[#This Row],[SCORE
Final 
2024]],Tableau2[SCORE
Final 
2024],1)</f>
        <v>23</v>
      </c>
    </row>
    <row r="109" spans="2:16" ht="21" customHeight="1" x14ac:dyDescent="0.4">
      <c r="B109" s="63" t="s">
        <v>296</v>
      </c>
      <c r="C109" s="7" t="s">
        <v>66</v>
      </c>
      <c r="D109" s="155" t="s">
        <v>13</v>
      </c>
      <c r="E109" s="238">
        <f>_xlfn.IFNA(VLOOKUP(TRIM(CONCATENATE(Tableau2[[#This Row],[PRENOM]],Tableau2[[#This Row],[NOM]])),'T1'!$C$5:$E$106,3,FALSE),90)</f>
        <v>90</v>
      </c>
      <c r="F109" s="226">
        <f>_xlfn.IFNA(VLOOKUP(TRIM(CONCATENATE(Tableau2[[#This Row],[PRENOM]],Tableau2[[#This Row],[NOM]])),'T2'!$C$5:$E$111,3,FALSE),90)</f>
        <v>90</v>
      </c>
      <c r="G109" s="238">
        <f>_xlfn.IFNA(VLOOKUP(TRIM(CONCATENATE(Tableau2[[#This Row],[PRENOM]],Tableau2[[#This Row],[NOM]])),'T3'!$C$5:$E$107,3,FALSE),90)</f>
        <v>90</v>
      </c>
      <c r="H109" s="238">
        <f>_xlfn.IFNA(VLOOKUP(TRIM(CONCATENATE(Tableau2[[#This Row],[PRENOM]],Tableau2[[#This Row],[NOM]])),'T4'!$C$5:$E$108,3,FALSE),90)</f>
        <v>90</v>
      </c>
      <c r="I109" s="238">
        <f>_xlfn.IFNA(VLOOKUP(TRIM(CONCATENATE(Tableau2[[#This Row],[PRENOM]],Tableau2[[#This Row],[NOM]])),'T5'!$C$5:$E$105,3,FALSE),90)</f>
        <v>90</v>
      </c>
      <c r="J109" s="238">
        <f>_xlfn.IFNA(VLOOKUP(TRIM(CONCATENATE(Tableau2[[#This Row],[PRENOM]],Tableau2[[#This Row],[NOM]])),'T6'!$C$5:$E$118,3,FALSE),90)</f>
        <v>71</v>
      </c>
      <c r="K109" s="238">
        <f>_xlfn.IFNA(VLOOKUP(TRIM(CONCATENATE(Tableau2[[#This Row],[PRENOM]],Tableau2[[#This Row],[NOM]])),'T7'!$C$5:$E$106,3,FALSE),90)</f>
        <v>90</v>
      </c>
      <c r="L109" s="239">
        <f t="shared" si="12"/>
        <v>611</v>
      </c>
      <c r="M109" s="240">
        <f t="shared" si="13"/>
        <v>90</v>
      </c>
      <c r="N109" s="241">
        <f t="shared" si="14"/>
        <v>90</v>
      </c>
      <c r="O109" s="227">
        <f t="shared" si="15"/>
        <v>431</v>
      </c>
      <c r="P109" s="227">
        <f>RANK(Tableau2[[#This Row],[SCORE
Final 
2024]],Tableau2[SCORE
Final 
2024],1)</f>
        <v>23</v>
      </c>
    </row>
    <row r="110" spans="2:16" ht="21" customHeight="1" x14ac:dyDescent="0.4">
      <c r="B110" s="231" t="s">
        <v>35</v>
      </c>
      <c r="C110" s="219" t="s">
        <v>249</v>
      </c>
      <c r="D110" s="155" t="s">
        <v>13</v>
      </c>
      <c r="E110" s="34">
        <f>_xlfn.IFNA(VLOOKUP(TRIM(CONCATENATE(Tableau2[[#This Row],[PRENOM]],Tableau2[[#This Row],[NOM]])),'T1'!$C$5:$E$106,3,FALSE),90)</f>
        <v>90</v>
      </c>
      <c r="F110" s="69">
        <f>_xlfn.IFNA(VLOOKUP(TRIM(CONCATENATE(Tableau2[[#This Row],[PRENOM]],Tableau2[[#This Row],[NOM]])),'T2'!$C$5:$E$111,3,FALSE),90)</f>
        <v>90</v>
      </c>
      <c r="G110" s="34">
        <f>_xlfn.IFNA(VLOOKUP(TRIM(CONCATENATE(Tableau2[[#This Row],[PRENOM]],Tableau2[[#This Row],[NOM]])),'T3'!$C$5:$E$107,3,FALSE),90)</f>
        <v>79</v>
      </c>
      <c r="H110" s="34">
        <f>_xlfn.IFNA(VLOOKUP(TRIM(CONCATENATE(Tableau2[[#This Row],[PRENOM]],Tableau2[[#This Row],[NOM]])),'T4'!$C$5:$E$108,3,FALSE),90)</f>
        <v>82</v>
      </c>
      <c r="I110" s="34">
        <f>_xlfn.IFNA(VLOOKUP(TRIM(CONCATENATE(Tableau2[[#This Row],[PRENOM]],Tableau2[[#This Row],[NOM]])),'T5'!$C$5:$E$105,3,FALSE),90)</f>
        <v>90</v>
      </c>
      <c r="J110" s="34">
        <f>_xlfn.IFNA(VLOOKUP(TRIM(CONCATENATE(Tableau2[[#This Row],[PRENOM]],Tableau2[[#This Row],[NOM]])),'T6'!$C$5:$E$118,3,FALSE),90)</f>
        <v>90</v>
      </c>
      <c r="K110" s="34">
        <f>_xlfn.IFNA(VLOOKUP(TRIM(CONCATENATE(Tableau2[[#This Row],[PRENOM]],Tableau2[[#This Row],[NOM]])),'T7'!$C$5:$E$106,3,FALSE),90)</f>
        <v>90</v>
      </c>
      <c r="L110" s="35">
        <f t="shared" si="12"/>
        <v>611</v>
      </c>
      <c r="M110" s="55">
        <f t="shared" si="13"/>
        <v>90</v>
      </c>
      <c r="N110" s="40">
        <f t="shared" si="14"/>
        <v>90</v>
      </c>
      <c r="O110" s="33">
        <f t="shared" si="15"/>
        <v>431</v>
      </c>
      <c r="P110" s="33">
        <f>RANK(Tableau2[[#This Row],[SCORE
Final 
2024]],Tableau2[SCORE
Final 
2024],1)</f>
        <v>23</v>
      </c>
    </row>
    <row r="111" spans="2:16" ht="21" customHeight="1" x14ac:dyDescent="0.4">
      <c r="B111" s="63" t="s">
        <v>212</v>
      </c>
      <c r="C111" s="7" t="s">
        <v>214</v>
      </c>
      <c r="D111" s="57" t="s">
        <v>130</v>
      </c>
      <c r="E111" s="34">
        <f>_xlfn.IFNA(VLOOKUP(TRIM(CONCATENATE(Tableau2[[#This Row],[PRENOM]],Tableau2[[#This Row],[NOM]])),'T1'!$C$5:$E$106,3,FALSE),90)</f>
        <v>90</v>
      </c>
      <c r="F111" s="69">
        <f>_xlfn.IFNA(VLOOKUP(TRIM(CONCATENATE(Tableau2[[#This Row],[PRENOM]],Tableau2[[#This Row],[NOM]])),'T2'!$C$5:$E$111,3,FALSE),90)</f>
        <v>86</v>
      </c>
      <c r="G111" s="34">
        <f>_xlfn.IFNA(VLOOKUP(TRIM(CONCATENATE(Tableau2[[#This Row],[PRENOM]],Tableau2[[#This Row],[NOM]])),'T3'!$C$5:$E$107,3,FALSE),90)</f>
        <v>90</v>
      </c>
      <c r="H111" s="34">
        <f>_xlfn.IFNA(VLOOKUP(TRIM(CONCATENATE(Tableau2[[#This Row],[PRENOM]],Tableau2[[#This Row],[NOM]])),'T4'!$C$5:$E$108,3,FALSE),90)</f>
        <v>90</v>
      </c>
      <c r="I111" s="34">
        <f>_xlfn.IFNA(VLOOKUP(TRIM(CONCATENATE(Tableau2[[#This Row],[PRENOM]],Tableau2[[#This Row],[NOM]])),'T5'!$C$5:$E$105,3,FALSE),90)</f>
        <v>90</v>
      </c>
      <c r="J111" s="34">
        <f>_xlfn.IFNA(VLOOKUP(TRIM(CONCATENATE(Tableau2[[#This Row],[PRENOM]],Tableau2[[#This Row],[NOM]])),'T6'!$C$5:$E$118,3,FALSE),90)</f>
        <v>76</v>
      </c>
      <c r="K111" s="34">
        <f>_xlfn.IFNA(VLOOKUP(TRIM(CONCATENATE(Tableau2[[#This Row],[PRENOM]],Tableau2[[#This Row],[NOM]])),'T7'!$C$5:$E$106,3,FALSE),90)</f>
        <v>90</v>
      </c>
      <c r="L111" s="35">
        <f t="shared" si="12"/>
        <v>612</v>
      </c>
      <c r="M111" s="38">
        <f t="shared" si="13"/>
        <v>90</v>
      </c>
      <c r="N111" s="40">
        <f t="shared" si="14"/>
        <v>90</v>
      </c>
      <c r="O111" s="33">
        <f t="shared" si="15"/>
        <v>432</v>
      </c>
      <c r="P111" s="33">
        <f>RANK(Tableau2[[#This Row],[SCORE
Final 
2024]],Tableau2[SCORE
Final 
2024],1)</f>
        <v>27</v>
      </c>
    </row>
    <row r="112" spans="2:16" ht="21" customHeight="1" x14ac:dyDescent="0.4">
      <c r="B112" s="64" t="s">
        <v>300</v>
      </c>
      <c r="C112" s="15" t="s">
        <v>59</v>
      </c>
      <c r="D112" s="57" t="s">
        <v>130</v>
      </c>
      <c r="E112" s="34">
        <f>_xlfn.IFNA(VLOOKUP(TRIM(CONCATENATE(Tableau2[[#This Row],[PRENOM]],Tableau2[[#This Row],[NOM]])),'T1'!$C$5:$E$106,3,FALSE),90)</f>
        <v>90</v>
      </c>
      <c r="F112" s="217">
        <f>_xlfn.IFNA(VLOOKUP(TRIM(CONCATENATE(Tableau2[[#This Row],[PRENOM]],Tableau2[[#This Row],[NOM]])),'T2'!$C$5:$E$111,3,FALSE),90)</f>
        <v>90</v>
      </c>
      <c r="G112" s="34">
        <f>_xlfn.IFNA(VLOOKUP(TRIM(CONCATENATE(Tableau2[[#This Row],[PRENOM]],Tableau2[[#This Row],[NOM]])),'T3'!$C$5:$E$107,3,FALSE),90)</f>
        <v>90</v>
      </c>
      <c r="H112" s="34">
        <f>_xlfn.IFNA(VLOOKUP(TRIM(CONCATENATE(Tableau2[[#This Row],[PRENOM]],Tableau2[[#This Row],[NOM]])),'T4'!$C$5:$E$108,3,FALSE),90)</f>
        <v>90</v>
      </c>
      <c r="I112" s="34">
        <f>_xlfn.IFNA(VLOOKUP(TRIM(CONCATENATE(Tableau2[[#This Row],[PRENOM]],Tableau2[[#This Row],[NOM]])),'T5'!$C$5:$E$105,3,FALSE),90)</f>
        <v>90</v>
      </c>
      <c r="J112" s="34">
        <f>_xlfn.IFNA(VLOOKUP(TRIM(CONCATENATE(Tableau2[[#This Row],[PRENOM]],Tableau2[[#This Row],[NOM]])),'T6'!$C$5:$E$118,3,FALSE),90)</f>
        <v>74</v>
      </c>
      <c r="K112" s="34">
        <f>_xlfn.IFNA(VLOOKUP(TRIM(CONCATENATE(Tableau2[[#This Row],[PRENOM]],Tableau2[[#This Row],[NOM]])),'T7'!$C$5:$E$106,3,FALSE),90)</f>
        <v>90</v>
      </c>
      <c r="L112" s="35">
        <f t="shared" si="12"/>
        <v>614</v>
      </c>
      <c r="M112" s="38">
        <f t="shared" si="13"/>
        <v>90</v>
      </c>
      <c r="N112" s="40">
        <f t="shared" si="14"/>
        <v>90</v>
      </c>
      <c r="O112" s="33">
        <f t="shared" si="15"/>
        <v>434</v>
      </c>
      <c r="P112" s="33">
        <f>RANK(Tableau2[[#This Row],[SCORE
Final 
2024]],Tableau2[SCORE
Final 
2024],1)</f>
        <v>28</v>
      </c>
    </row>
    <row r="113" spans="2:16" ht="21" customHeight="1" x14ac:dyDescent="0.4">
      <c r="B113" s="64" t="s">
        <v>148</v>
      </c>
      <c r="C113" s="15" t="s">
        <v>144</v>
      </c>
      <c r="D113" s="25" t="s">
        <v>8</v>
      </c>
      <c r="E113" s="34">
        <f>_xlfn.IFNA(VLOOKUP(TRIM(CONCATENATE(Tableau2[[#This Row],[PRENOM]],Tableau2[[#This Row],[NOM]])),'T1'!$C$5:$E$106,3,FALSE),90)</f>
        <v>90</v>
      </c>
      <c r="F113" s="69">
        <f>_xlfn.IFNA(VLOOKUP(TRIM(CONCATENATE(Tableau2[[#This Row],[PRENOM]],Tableau2[[#This Row],[NOM]])),'T2'!$C$5:$E$111,3,FALSE),90)</f>
        <v>90</v>
      </c>
      <c r="G113" s="34">
        <f>_xlfn.IFNA(VLOOKUP(TRIM(CONCATENATE(Tableau2[[#This Row],[PRENOM]],Tableau2[[#This Row],[NOM]])),'T3'!$C$5:$E$107,3,FALSE),90)</f>
        <v>80</v>
      </c>
      <c r="H113" s="34">
        <f>_xlfn.IFNA(VLOOKUP(TRIM(CONCATENATE(Tableau2[[#This Row],[PRENOM]],Tableau2[[#This Row],[NOM]])),'T4'!$C$5:$E$108,3,FALSE),90)</f>
        <v>85</v>
      </c>
      <c r="I113" s="34">
        <f>_xlfn.IFNA(VLOOKUP(TRIM(CONCATENATE(Tableau2[[#This Row],[PRENOM]],Tableau2[[#This Row],[NOM]])),'T5'!$C$5:$E$105,3,FALSE),90)</f>
        <v>90</v>
      </c>
      <c r="J113" s="34">
        <f>_xlfn.IFNA(VLOOKUP(TRIM(CONCATENATE(Tableau2[[#This Row],[PRENOM]],Tableau2[[#This Row],[NOM]])),'T6'!$C$5:$E$118,3,FALSE),90)</f>
        <v>90</v>
      </c>
      <c r="K113" s="34">
        <f>_xlfn.IFNA(VLOOKUP(TRIM(CONCATENATE(Tableau2[[#This Row],[PRENOM]],Tableau2[[#This Row],[NOM]])),'T7'!$C$5:$E$106,3,FALSE),90)</f>
        <v>90</v>
      </c>
      <c r="L113" s="35">
        <f t="shared" si="12"/>
        <v>615</v>
      </c>
      <c r="M113" s="55">
        <f t="shared" si="13"/>
        <v>90</v>
      </c>
      <c r="N113" s="40">
        <f t="shared" si="14"/>
        <v>90</v>
      </c>
      <c r="O113" s="33">
        <f t="shared" si="15"/>
        <v>435</v>
      </c>
      <c r="P113" s="33">
        <f>RANK(Tableau2[[#This Row],[SCORE
Final 
2024]],Tableau2[SCORE
Final 
2024],1)</f>
        <v>29</v>
      </c>
    </row>
    <row r="114" spans="2:16" ht="21" customHeight="1" x14ac:dyDescent="0.4">
      <c r="B114" s="64" t="s">
        <v>288</v>
      </c>
      <c r="C114" s="15" t="s">
        <v>289</v>
      </c>
      <c r="D114" s="58" t="s">
        <v>74</v>
      </c>
      <c r="E114" s="69">
        <f>_xlfn.IFNA(VLOOKUP(TRIM(CONCATENATE(Tableau2[[#This Row],[PRENOM]],Tableau2[[#This Row],[NOM]])),'T1'!$C$5:$E$106,3,FALSE),90)</f>
        <v>90</v>
      </c>
      <c r="F114" s="217">
        <f>_xlfn.IFNA(VLOOKUP(TRIM(CONCATENATE(Tableau2[[#This Row],[PRENOM]],Tableau2[[#This Row],[NOM]])),'T2'!$C$5:$E$111,3,FALSE),90)</f>
        <v>90</v>
      </c>
      <c r="G114" s="69">
        <f>_xlfn.IFNA(VLOOKUP(TRIM(CONCATENATE(Tableau2[[#This Row],[PRENOM]],Tableau2[[#This Row],[NOM]])),'T3'!$C$5:$E$107,3,FALSE),90)</f>
        <v>90</v>
      </c>
      <c r="H114" s="69">
        <f>_xlfn.IFNA(VLOOKUP(TRIM(CONCATENATE(Tableau2[[#This Row],[PRENOM]],Tableau2[[#This Row],[NOM]])),'T4'!$C$5:$E$108,3,FALSE),90)</f>
        <v>90</v>
      </c>
      <c r="I114" s="69">
        <f>_xlfn.IFNA(VLOOKUP(TRIM(CONCATENATE(Tableau2[[#This Row],[PRENOM]],Tableau2[[#This Row],[NOM]])),'T5'!$C$5:$E$105,3,FALSE),90)</f>
        <v>76</v>
      </c>
      <c r="J114" s="69">
        <f>_xlfn.IFNA(VLOOKUP(TRIM(CONCATENATE(Tableau2[[#This Row],[PRENOM]],Tableau2[[#This Row],[NOM]])),'T6'!$C$5:$E$118,3,FALSE),90)</f>
        <v>90</v>
      </c>
      <c r="K114" s="69">
        <f>_xlfn.IFNA(VLOOKUP(TRIM(CONCATENATE(Tableau2[[#This Row],[PRENOM]],Tableau2[[#This Row],[NOM]])),'T7'!$C$5:$E$106,3,FALSE),90)</f>
        <v>90</v>
      </c>
      <c r="L114" s="130">
        <f t="shared" si="12"/>
        <v>616</v>
      </c>
      <c r="M114" s="71">
        <f t="shared" si="13"/>
        <v>90</v>
      </c>
      <c r="N114" s="72">
        <f t="shared" si="14"/>
        <v>90</v>
      </c>
      <c r="O114" s="33">
        <f t="shared" si="15"/>
        <v>436</v>
      </c>
      <c r="P114" s="33">
        <f>RANK(Tableau2[[#This Row],[SCORE
Final 
2024]],Tableau2[SCORE
Final 
2024],1)</f>
        <v>30</v>
      </c>
    </row>
    <row r="115" spans="2:16" ht="21" customHeight="1" x14ac:dyDescent="0.4">
      <c r="B115" s="64" t="s">
        <v>235</v>
      </c>
      <c r="C115" s="15" t="s">
        <v>223</v>
      </c>
      <c r="D115" s="24" t="s">
        <v>19</v>
      </c>
      <c r="E115" s="69">
        <f>_xlfn.IFNA(VLOOKUP(TRIM(CONCATENATE(Tableau2[[#This Row],[PRENOM]],Tableau2[[#This Row],[NOM]])),'T1'!$C$5:$E$106,3,FALSE),90)</f>
        <v>90</v>
      </c>
      <c r="F115" s="69">
        <f>_xlfn.IFNA(VLOOKUP(TRIM(CONCATENATE(Tableau2[[#This Row],[PRENOM]],Tableau2[[#This Row],[NOM]])),'T2'!$C$5:$E$111,3,FALSE),90)</f>
        <v>77</v>
      </c>
      <c r="G115" s="69">
        <f>_xlfn.IFNA(VLOOKUP(TRIM(CONCATENATE(Tableau2[[#This Row],[PRENOM]],Tableau2[[#This Row],[NOM]])),'T3'!$C$5:$E$107,3,FALSE),90)</f>
        <v>90</v>
      </c>
      <c r="H115" s="69">
        <f>_xlfn.IFNA(VLOOKUP(TRIM(CONCATENATE(Tableau2[[#This Row],[PRENOM]],Tableau2[[#This Row],[NOM]])),'T4'!$C$5:$E$108,3,FALSE),90)</f>
        <v>90</v>
      </c>
      <c r="I115" s="69">
        <f>_xlfn.IFNA(VLOOKUP(TRIM(CONCATENATE(Tableau2[[#This Row],[PRENOM]],Tableau2[[#This Row],[NOM]])),'T5'!$C$5:$E$105,3,FALSE),90)</f>
        <v>90</v>
      </c>
      <c r="J115" s="69">
        <f>_xlfn.IFNA(VLOOKUP(TRIM(CONCATENATE(Tableau2[[#This Row],[PRENOM]],Tableau2[[#This Row],[NOM]])),'T6'!$C$5:$E$118,3,FALSE),90)</f>
        <v>90</v>
      </c>
      <c r="K115" s="69">
        <f>_xlfn.IFNA(VLOOKUP(TRIM(CONCATENATE(Tableau2[[#This Row],[PRENOM]],Tableau2[[#This Row],[NOM]])),'T7'!$C$5:$E$106,3,FALSE),90)</f>
        <v>90</v>
      </c>
      <c r="L115" s="130">
        <f t="shared" si="12"/>
        <v>617</v>
      </c>
      <c r="M115" s="71">
        <f t="shared" si="13"/>
        <v>90</v>
      </c>
      <c r="N115" s="72">
        <f t="shared" si="14"/>
        <v>90</v>
      </c>
      <c r="O115" s="33">
        <f t="shared" si="15"/>
        <v>437</v>
      </c>
      <c r="P115" s="33">
        <f>RANK(Tableau2[[#This Row],[SCORE
Final 
2024]],Tableau2[SCORE
Final 
2024],1)</f>
        <v>31</v>
      </c>
    </row>
    <row r="116" spans="2:16" ht="21" customHeight="1" x14ac:dyDescent="0.4">
      <c r="B116" s="64" t="s">
        <v>112</v>
      </c>
      <c r="C116" s="15" t="s">
        <v>113</v>
      </c>
      <c r="D116" s="233" t="s">
        <v>26</v>
      </c>
      <c r="E116" s="34">
        <f>_xlfn.IFNA(VLOOKUP(TRIM(CONCATENATE(Tableau2[[#This Row],[PRENOM]],Tableau2[[#This Row],[NOM]])),'T1'!$C$5:$E$106,3,FALSE),90)</f>
        <v>90</v>
      </c>
      <c r="F116" s="69">
        <f>_xlfn.IFNA(VLOOKUP(TRIM(CONCATENATE(Tableau2[[#This Row],[PRENOM]],Tableau2[[#This Row],[NOM]])),'T2'!$C$5:$E$111,3,FALSE),90)</f>
        <v>90</v>
      </c>
      <c r="G116" s="34">
        <f>_xlfn.IFNA(VLOOKUP(TRIM(CONCATENATE(Tableau2[[#This Row],[PRENOM]],Tableau2[[#This Row],[NOM]])),'T3'!$C$5:$E$107,3,FALSE),90)</f>
        <v>90</v>
      </c>
      <c r="H116" s="34">
        <f>_xlfn.IFNA(VLOOKUP(TRIM(CONCATENATE(Tableau2[[#This Row],[PRENOM]],Tableau2[[#This Row],[NOM]])),'T4'!$C$5:$E$108,3,FALSE),90)</f>
        <v>90</v>
      </c>
      <c r="I116" s="34">
        <f>_xlfn.IFNA(VLOOKUP(TRIM(CONCATENATE(Tableau2[[#This Row],[PRENOM]],Tableau2[[#This Row],[NOM]])),'T5'!$C$5:$E$105,3,FALSE),90)</f>
        <v>90</v>
      </c>
      <c r="J116" s="34">
        <f>_xlfn.IFNA(VLOOKUP(TRIM(CONCATENATE(Tableau2[[#This Row],[PRENOM]],Tableau2[[#This Row],[NOM]])),'T6'!$C$5:$E$118,3,FALSE),90)</f>
        <v>90</v>
      </c>
      <c r="K116" s="34">
        <f>_xlfn.IFNA(VLOOKUP(TRIM(CONCATENATE(Tableau2[[#This Row],[PRENOM]],Tableau2[[#This Row],[NOM]])),'T7'!$C$5:$E$106,3,FALSE),90)</f>
        <v>78</v>
      </c>
      <c r="L116" s="35">
        <f t="shared" si="12"/>
        <v>618</v>
      </c>
      <c r="M116" s="55">
        <f t="shared" si="13"/>
        <v>90</v>
      </c>
      <c r="N116" s="40">
        <f t="shared" si="14"/>
        <v>90</v>
      </c>
      <c r="O116" s="33">
        <f t="shared" si="15"/>
        <v>438</v>
      </c>
      <c r="P116" s="33">
        <f>RANK(Tableau2[[#This Row],[SCORE
Final 
2024]],Tableau2[SCORE
Final 
2024],1)</f>
        <v>32</v>
      </c>
    </row>
    <row r="117" spans="2:16" ht="21" customHeight="1" x14ac:dyDescent="0.4">
      <c r="B117" s="64" t="s">
        <v>218</v>
      </c>
      <c r="C117" s="15" t="s">
        <v>99</v>
      </c>
      <c r="D117" s="24" t="s">
        <v>19</v>
      </c>
      <c r="E117" s="34">
        <f>_xlfn.IFNA(VLOOKUP(TRIM(CONCATENATE(Tableau2[[#This Row],[PRENOM]],Tableau2[[#This Row],[NOM]])),'T1'!$C$5:$E$106,3,FALSE),90)</f>
        <v>90</v>
      </c>
      <c r="F117" s="69">
        <f>_xlfn.IFNA(VLOOKUP(TRIM(CONCATENATE(Tableau2[[#This Row],[PRENOM]],Tableau2[[#This Row],[NOM]])),'T2'!$C$5:$E$111,3,FALSE),90)</f>
        <v>81</v>
      </c>
      <c r="G117" s="34">
        <f>_xlfn.IFNA(VLOOKUP(TRIM(CONCATENATE(Tableau2[[#This Row],[PRENOM]],Tableau2[[#This Row],[NOM]])),'T3'!$C$5:$E$107,3,FALSE),90)</f>
        <v>90</v>
      </c>
      <c r="H117" s="34">
        <f>_xlfn.IFNA(VLOOKUP(TRIM(CONCATENATE(Tableau2[[#This Row],[PRENOM]],Tableau2[[#This Row],[NOM]])),'T4'!$C$5:$E$108,3,FALSE),90)</f>
        <v>90</v>
      </c>
      <c r="I117" s="34">
        <f>_xlfn.IFNA(VLOOKUP(TRIM(CONCATENATE(Tableau2[[#This Row],[PRENOM]],Tableau2[[#This Row],[NOM]])),'T5'!$C$5:$E$105,3,FALSE),90)</f>
        <v>90</v>
      </c>
      <c r="J117" s="34">
        <f>_xlfn.IFNA(VLOOKUP(TRIM(CONCATENATE(Tableau2[[#This Row],[PRENOM]],Tableau2[[#This Row],[NOM]])),'T6'!$C$5:$E$118,3,FALSE),90)</f>
        <v>90</v>
      </c>
      <c r="K117" s="34">
        <f>_xlfn.IFNA(VLOOKUP(TRIM(CONCATENATE(Tableau2[[#This Row],[PRENOM]],Tableau2[[#This Row],[NOM]])),'T7'!$C$5:$E$106,3,FALSE),90)</f>
        <v>90</v>
      </c>
      <c r="L117" s="35">
        <f t="shared" si="12"/>
        <v>621</v>
      </c>
      <c r="M117" s="38">
        <f t="shared" si="13"/>
        <v>90</v>
      </c>
      <c r="N117" s="40">
        <f t="shared" si="14"/>
        <v>90</v>
      </c>
      <c r="O117" s="33">
        <f t="shared" si="15"/>
        <v>441</v>
      </c>
      <c r="P117" s="33">
        <f>RANK(Tableau2[[#This Row],[SCORE
Final 
2024]],Tableau2[SCORE
Final 
2024],1)</f>
        <v>33</v>
      </c>
    </row>
    <row r="118" spans="2:16" ht="21" customHeight="1" x14ac:dyDescent="0.4">
      <c r="B118" s="64" t="s">
        <v>22</v>
      </c>
      <c r="C118" s="15" t="s">
        <v>55</v>
      </c>
      <c r="D118" s="25" t="s">
        <v>8</v>
      </c>
      <c r="E118" s="34">
        <f>_xlfn.IFNA(VLOOKUP(TRIM(CONCATENATE(Tableau2[[#This Row],[PRENOM]],Tableau2[[#This Row],[NOM]])),'T1'!$C$5:$E$106,3,FALSE),90)</f>
        <v>90</v>
      </c>
      <c r="F118" s="69">
        <f>_xlfn.IFNA(VLOOKUP(TRIM(CONCATENATE(Tableau2[[#This Row],[PRENOM]],Tableau2[[#This Row],[NOM]])),'T2'!$C$5:$E$111,3,FALSE),90)</f>
        <v>90</v>
      </c>
      <c r="G118" s="34">
        <f>_xlfn.IFNA(VLOOKUP(TRIM(CONCATENATE(Tableau2[[#This Row],[PRENOM]],Tableau2[[#This Row],[NOM]])),'T3'!$C$5:$E$107,3,FALSE),90)</f>
        <v>90</v>
      </c>
      <c r="H118" s="34">
        <f>_xlfn.IFNA(VLOOKUP(TRIM(CONCATENATE(Tableau2[[#This Row],[PRENOM]],Tableau2[[#This Row],[NOM]])),'T4'!$C$5:$E$108,3,FALSE),90)</f>
        <v>90</v>
      </c>
      <c r="I118" s="34">
        <f>_xlfn.IFNA(VLOOKUP(TRIM(CONCATENATE(Tableau2[[#This Row],[PRENOM]],Tableau2[[#This Row],[NOM]])),'T5'!$C$5:$E$105,3,FALSE),90)</f>
        <v>82</v>
      </c>
      <c r="J118" s="34">
        <f>_xlfn.IFNA(VLOOKUP(TRIM(CONCATENATE(Tableau2[[#This Row],[PRENOM]],Tableau2[[#This Row],[NOM]])),'T6'!$C$5:$E$118,3,FALSE),90)</f>
        <v>90</v>
      </c>
      <c r="K118" s="34">
        <f>_xlfn.IFNA(VLOOKUP(TRIM(CONCATENATE(Tableau2[[#This Row],[PRENOM]],Tableau2[[#This Row],[NOM]])),'T7'!$C$5:$E$106,3,FALSE),90)</f>
        <v>90</v>
      </c>
      <c r="L118" s="35">
        <f t="shared" si="12"/>
        <v>622</v>
      </c>
      <c r="M118" s="55">
        <f t="shared" si="13"/>
        <v>90</v>
      </c>
      <c r="N118" s="40">
        <f t="shared" si="14"/>
        <v>90</v>
      </c>
      <c r="O118" s="33">
        <f t="shared" si="15"/>
        <v>442</v>
      </c>
      <c r="P118" s="33">
        <f>RANK(Tableau2[[#This Row],[SCORE
Final 
2024]],Tableau2[SCORE
Final 
2024],1)</f>
        <v>34</v>
      </c>
    </row>
    <row r="119" spans="2:16" ht="21" customHeight="1" x14ac:dyDescent="0.4">
      <c r="B119" s="65" t="s">
        <v>234</v>
      </c>
      <c r="C119" s="20" t="s">
        <v>236</v>
      </c>
      <c r="D119" s="24" t="s">
        <v>19</v>
      </c>
      <c r="E119" s="34">
        <f>_xlfn.IFNA(VLOOKUP(TRIM(CONCATENATE(Tableau2[[#This Row],[PRENOM]],Tableau2[[#This Row],[NOM]])),'T1'!$C$5:$E$106,3,FALSE),90)</f>
        <v>90</v>
      </c>
      <c r="F119" s="69">
        <f>_xlfn.IFNA(VLOOKUP(TRIM(CONCATENATE(Tableau2[[#This Row],[PRENOM]],Tableau2[[#This Row],[NOM]])),'T2'!$C$5:$E$111,3,FALSE),90)</f>
        <v>83</v>
      </c>
      <c r="G119" s="34">
        <f>_xlfn.IFNA(VLOOKUP(TRIM(CONCATENATE(Tableau2[[#This Row],[PRENOM]],Tableau2[[#This Row],[NOM]])),'T3'!$C$5:$E$107,3,FALSE),90)</f>
        <v>90</v>
      </c>
      <c r="H119" s="34">
        <f>_xlfn.IFNA(VLOOKUP(TRIM(CONCATENATE(Tableau2[[#This Row],[PRENOM]],Tableau2[[#This Row],[NOM]])),'T4'!$C$5:$E$108,3,FALSE),90)</f>
        <v>90</v>
      </c>
      <c r="I119" s="34">
        <f>_xlfn.IFNA(VLOOKUP(TRIM(CONCATENATE(Tableau2[[#This Row],[PRENOM]],Tableau2[[#This Row],[NOM]])),'T5'!$C$5:$E$105,3,FALSE),90)</f>
        <v>90</v>
      </c>
      <c r="J119" s="34">
        <f>_xlfn.IFNA(VLOOKUP(TRIM(CONCATENATE(Tableau2[[#This Row],[PRENOM]],Tableau2[[#This Row],[NOM]])),'T6'!$C$5:$E$118,3,FALSE),90)</f>
        <v>90</v>
      </c>
      <c r="K119" s="34">
        <f>_xlfn.IFNA(VLOOKUP(TRIM(CONCATENATE(Tableau2[[#This Row],[PRENOM]],Tableau2[[#This Row],[NOM]])),'T7'!$C$5:$E$106,3,FALSE),90)</f>
        <v>90</v>
      </c>
      <c r="L119" s="35">
        <f t="shared" si="12"/>
        <v>623</v>
      </c>
      <c r="M119" s="38">
        <f t="shared" si="13"/>
        <v>90</v>
      </c>
      <c r="N119" s="40">
        <f t="shared" si="14"/>
        <v>90</v>
      </c>
      <c r="O119" s="33">
        <f t="shared" si="15"/>
        <v>443</v>
      </c>
      <c r="P119" s="33">
        <f>RANK(Tableau2[[#This Row],[SCORE
Final 
2024]],Tableau2[SCORE
Final 
2024],1)</f>
        <v>35</v>
      </c>
    </row>
    <row r="120" spans="2:16" ht="21" customHeight="1" x14ac:dyDescent="0.4">
      <c r="B120" s="66" t="s">
        <v>232</v>
      </c>
      <c r="C120" s="21" t="s">
        <v>55</v>
      </c>
      <c r="D120" s="56" t="s">
        <v>26</v>
      </c>
      <c r="E120" s="69">
        <f>_xlfn.IFNA(VLOOKUP(TRIM(CONCATENATE(Tableau2[[#This Row],[PRENOM]],Tableau2[[#This Row],[NOM]])),'T1'!$C$5:$E$106,3,FALSE),90)</f>
        <v>90</v>
      </c>
      <c r="F120" s="69">
        <f>_xlfn.IFNA(VLOOKUP(TRIM(CONCATENATE(Tableau2[[#This Row],[PRENOM]],Tableau2[[#This Row],[NOM]])),'T2'!$C$5:$E$111,3,FALSE),90)</f>
        <v>83</v>
      </c>
      <c r="G120" s="69">
        <f>_xlfn.IFNA(VLOOKUP(TRIM(CONCATENATE(Tableau2[[#This Row],[PRENOM]],Tableau2[[#This Row],[NOM]])),'T3'!$C$5:$E$107,3,FALSE),90)</f>
        <v>90</v>
      </c>
      <c r="H120" s="69">
        <f>_xlfn.IFNA(VLOOKUP(TRIM(CONCATENATE(Tableau2[[#This Row],[PRENOM]],Tableau2[[#This Row],[NOM]])),'T4'!$C$5:$E$108,3,FALSE),90)</f>
        <v>90</v>
      </c>
      <c r="I120" s="69">
        <f>_xlfn.IFNA(VLOOKUP(TRIM(CONCATENATE(Tableau2[[#This Row],[PRENOM]],Tableau2[[#This Row],[NOM]])),'T5'!$C$5:$E$105,3,FALSE),90)</f>
        <v>90</v>
      </c>
      <c r="J120" s="69">
        <f>_xlfn.IFNA(VLOOKUP(TRIM(CONCATENATE(Tableau2[[#This Row],[PRENOM]],Tableau2[[#This Row],[NOM]])),'T6'!$C$5:$E$118,3,FALSE),90)</f>
        <v>90</v>
      </c>
      <c r="K120" s="69">
        <f>_xlfn.IFNA(VLOOKUP(TRIM(CONCATENATE(Tableau2[[#This Row],[PRENOM]],Tableau2[[#This Row],[NOM]])),'T7'!$C$5:$E$106,3,FALSE),90)</f>
        <v>90</v>
      </c>
      <c r="L120" s="130">
        <f t="shared" si="12"/>
        <v>623</v>
      </c>
      <c r="M120" s="71">
        <f t="shared" si="13"/>
        <v>90</v>
      </c>
      <c r="N120" s="72">
        <f t="shared" si="14"/>
        <v>90</v>
      </c>
      <c r="O120" s="33">
        <f t="shared" si="15"/>
        <v>443</v>
      </c>
      <c r="P120" s="33">
        <f>RANK(Tableau2[[#This Row],[SCORE
Final 
2024]],Tableau2[SCORE
Final 
2024],1)</f>
        <v>35</v>
      </c>
    </row>
    <row r="121" spans="2:16" ht="21" customHeight="1" x14ac:dyDescent="0.4">
      <c r="B121" s="66" t="s">
        <v>20</v>
      </c>
      <c r="C121" s="21" t="s">
        <v>299</v>
      </c>
      <c r="D121" s="57" t="s">
        <v>130</v>
      </c>
      <c r="E121" s="34">
        <f>_xlfn.IFNA(VLOOKUP(TRIM(CONCATENATE(Tableau2[[#This Row],[PRENOM]],Tableau2[[#This Row],[NOM]])),'T1'!$C$5:$E$106,3,FALSE),90)</f>
        <v>90</v>
      </c>
      <c r="F121" s="217">
        <f>_xlfn.IFNA(VLOOKUP(TRIM(CONCATENATE(Tableau2[[#This Row],[PRENOM]],Tableau2[[#This Row],[NOM]])),'T2'!$C$5:$E$111,3,FALSE),90)</f>
        <v>90</v>
      </c>
      <c r="G121" s="34">
        <f>_xlfn.IFNA(VLOOKUP(TRIM(CONCATENATE(Tableau2[[#This Row],[PRENOM]],Tableau2[[#This Row],[NOM]])),'T3'!$C$5:$E$107,3,FALSE),90)</f>
        <v>90</v>
      </c>
      <c r="H121" s="34">
        <f>_xlfn.IFNA(VLOOKUP(TRIM(CONCATENATE(Tableau2[[#This Row],[PRENOM]],Tableau2[[#This Row],[NOM]])),'T4'!$C$5:$E$108,3,FALSE),90)</f>
        <v>90</v>
      </c>
      <c r="I121" s="34">
        <f>_xlfn.IFNA(VLOOKUP(TRIM(CONCATENATE(Tableau2[[#This Row],[PRENOM]],Tableau2[[#This Row],[NOM]])),'T5'!$C$5:$E$105,3,FALSE),90)</f>
        <v>90</v>
      </c>
      <c r="J121" s="34">
        <f>_xlfn.IFNA(VLOOKUP(TRIM(CONCATENATE(Tableau2[[#This Row],[PRENOM]],Tableau2[[#This Row],[NOM]])),'T6'!$C$5:$E$118,3,FALSE),90)</f>
        <v>85</v>
      </c>
      <c r="K121" s="34">
        <f>_xlfn.IFNA(VLOOKUP(TRIM(CONCATENATE(Tableau2[[#This Row],[PRENOM]],Tableau2[[#This Row],[NOM]])),'T7'!$C$5:$E$106,3,FALSE),90)</f>
        <v>90</v>
      </c>
      <c r="L121" s="35">
        <f t="shared" si="12"/>
        <v>625</v>
      </c>
      <c r="M121" s="38">
        <f t="shared" si="13"/>
        <v>90</v>
      </c>
      <c r="N121" s="40">
        <f t="shared" si="14"/>
        <v>90</v>
      </c>
      <c r="O121" s="33">
        <f t="shared" si="15"/>
        <v>445</v>
      </c>
      <c r="P121" s="33">
        <f>RANK(Tableau2[[#This Row],[SCORE
Final 
2024]],Tableau2[SCORE
Final 
2024],1)</f>
        <v>37</v>
      </c>
    </row>
    <row r="122" spans="2:16" ht="21" customHeight="1" x14ac:dyDescent="0.4">
      <c r="B122" s="66" t="s">
        <v>91</v>
      </c>
      <c r="C122" s="21" t="s">
        <v>94</v>
      </c>
      <c r="D122" s="163" t="s">
        <v>129</v>
      </c>
      <c r="E122" s="34">
        <f>_xlfn.IFNA(VLOOKUP(TRIM(CONCATENATE(Tableau2[[#This Row],[PRENOM]],Tableau2[[#This Row],[NOM]])),'T1'!$C$5:$E$106,3,FALSE),90)</f>
        <v>90</v>
      </c>
      <c r="F122" s="69">
        <f>_xlfn.IFNA(VLOOKUP(TRIM(CONCATENATE(Tableau2[[#This Row],[PRENOM]],Tableau2[[#This Row],[NOM]])),'T2'!$C$5:$E$111,3,FALSE),90)</f>
        <v>90</v>
      </c>
      <c r="G122" s="34">
        <f>_xlfn.IFNA(VLOOKUP(TRIM(CONCATENATE(Tableau2[[#This Row],[PRENOM]],Tableau2[[#This Row],[NOM]])),'T3'!$C$5:$E$107,3,FALSE),90)</f>
        <v>90</v>
      </c>
      <c r="H122" s="34">
        <f>_xlfn.IFNA(VLOOKUP(TRIM(CONCATENATE(Tableau2[[#This Row],[PRENOM]],Tableau2[[#This Row],[NOM]])),'T4'!$C$5:$E$108,3,FALSE),90)</f>
        <v>90</v>
      </c>
      <c r="I122" s="34">
        <f>_xlfn.IFNA(VLOOKUP(TRIM(CONCATENATE(Tableau2[[#This Row],[PRENOM]],Tableau2[[#This Row],[NOM]])),'T5'!$C$5:$E$105,3,FALSE),90)</f>
        <v>90</v>
      </c>
      <c r="J122" s="34">
        <f>_xlfn.IFNA(VLOOKUP(TRIM(CONCATENATE(Tableau2[[#This Row],[PRENOM]],Tableau2[[#This Row],[NOM]])),'T6'!$C$5:$E$118,3,FALSE),90)</f>
        <v>90</v>
      </c>
      <c r="K122" s="34">
        <f>_xlfn.IFNA(VLOOKUP(TRIM(CONCATENATE(Tableau2[[#This Row],[PRENOM]],Tableau2[[#This Row],[NOM]])),'T7'!$C$5:$E$106,3,FALSE),90)</f>
        <v>90</v>
      </c>
      <c r="L122" s="35">
        <f t="shared" si="12"/>
        <v>630</v>
      </c>
      <c r="M122" s="55">
        <f t="shared" si="13"/>
        <v>90</v>
      </c>
      <c r="N122" s="40">
        <f t="shared" si="14"/>
        <v>90</v>
      </c>
      <c r="O122" s="33">
        <f t="shared" si="15"/>
        <v>450</v>
      </c>
      <c r="P122" s="33">
        <f>RANK(Tableau2[[#This Row],[SCORE
Final 
2024]],Tableau2[SCORE
Final 
2024],1)</f>
        <v>38</v>
      </c>
    </row>
    <row r="123" spans="2:16" ht="21" customHeight="1" x14ac:dyDescent="0.4">
      <c r="B123" s="67" t="s">
        <v>155</v>
      </c>
      <c r="C123" s="14" t="s">
        <v>157</v>
      </c>
      <c r="D123" s="27" t="s">
        <v>74</v>
      </c>
      <c r="E123" s="34">
        <f>_xlfn.IFNA(VLOOKUP(TRIM(CONCATENATE(Tableau2[[#This Row],[PRENOM]],Tableau2[[#This Row],[NOM]])),'T1'!$C$5:$E$106,3,FALSE),90)</f>
        <v>90</v>
      </c>
      <c r="F123" s="69">
        <f>_xlfn.IFNA(VLOOKUP(TRIM(CONCATENATE(Tableau2[[#This Row],[PRENOM]],Tableau2[[#This Row],[NOM]])),'T2'!$C$5:$E$111,3,FALSE),90)</f>
        <v>90</v>
      </c>
      <c r="G123" s="34">
        <f>_xlfn.IFNA(VLOOKUP(TRIM(CONCATENATE(Tableau2[[#This Row],[PRENOM]],Tableau2[[#This Row],[NOM]])),'T3'!$C$5:$E$107,3,FALSE),90)</f>
        <v>90</v>
      </c>
      <c r="H123" s="34">
        <f>_xlfn.IFNA(VLOOKUP(TRIM(CONCATENATE(Tableau2[[#This Row],[PRENOM]],Tableau2[[#This Row],[NOM]])),'T4'!$C$5:$E$108,3,FALSE),90)</f>
        <v>90</v>
      </c>
      <c r="I123" s="34">
        <f>_xlfn.IFNA(VLOOKUP(TRIM(CONCATENATE(Tableau2[[#This Row],[PRENOM]],Tableau2[[#This Row],[NOM]])),'T5'!$C$5:$E$105,3,FALSE),90)</f>
        <v>90</v>
      </c>
      <c r="J123" s="34">
        <f>_xlfn.IFNA(VLOOKUP(TRIM(CONCATENATE(Tableau2[[#This Row],[PRENOM]],Tableau2[[#This Row],[NOM]])),'T6'!$C$5:$E$118,3,FALSE),90)</f>
        <v>90</v>
      </c>
      <c r="K123" s="34">
        <f>_xlfn.IFNA(VLOOKUP(TRIM(CONCATENATE(Tableau2[[#This Row],[PRENOM]],Tableau2[[#This Row],[NOM]])),'T7'!$C$5:$E$106,3,FALSE),90)</f>
        <v>90</v>
      </c>
      <c r="L123" s="35">
        <f t="shared" si="12"/>
        <v>630</v>
      </c>
      <c r="M123" s="55">
        <f t="shared" si="13"/>
        <v>90</v>
      </c>
      <c r="N123" s="40">
        <f t="shared" si="14"/>
        <v>90</v>
      </c>
      <c r="O123" s="33">
        <f t="shared" si="15"/>
        <v>450</v>
      </c>
      <c r="P123" s="33">
        <f>RANK(Tableau2[[#This Row],[SCORE
Final 
2024]],Tableau2[SCORE
Final 
2024],1)</f>
        <v>38</v>
      </c>
    </row>
    <row r="124" spans="2:16" ht="21" customHeight="1" x14ac:dyDescent="0.4">
      <c r="B124" s="67" t="s">
        <v>110</v>
      </c>
      <c r="C124" s="14" t="s">
        <v>111</v>
      </c>
      <c r="D124" s="28" t="s">
        <v>26</v>
      </c>
      <c r="E124" s="34">
        <f>_xlfn.IFNA(VLOOKUP(TRIM(CONCATENATE(Tableau2[[#This Row],[PRENOM]],Tableau2[[#This Row],[NOM]])),'T1'!$C$5:$E$106,3,FALSE),90)</f>
        <v>90</v>
      </c>
      <c r="F124" s="69">
        <f>_xlfn.IFNA(VLOOKUP(TRIM(CONCATENATE(Tableau2[[#This Row],[PRENOM]],Tableau2[[#This Row],[NOM]])),'T2'!$C$5:$E$111,3,FALSE),90)</f>
        <v>90</v>
      </c>
      <c r="G124" s="34">
        <f>_xlfn.IFNA(VLOOKUP(TRIM(CONCATENATE(Tableau2[[#This Row],[PRENOM]],Tableau2[[#This Row],[NOM]])),'T3'!$C$5:$E$107,3,FALSE),90)</f>
        <v>90</v>
      </c>
      <c r="H124" s="34">
        <f>_xlfn.IFNA(VLOOKUP(TRIM(CONCATENATE(Tableau2[[#This Row],[PRENOM]],Tableau2[[#This Row],[NOM]])),'T4'!$C$5:$E$108,3,FALSE),90)</f>
        <v>90</v>
      </c>
      <c r="I124" s="34">
        <f>_xlfn.IFNA(VLOOKUP(TRIM(CONCATENATE(Tableau2[[#This Row],[PRENOM]],Tableau2[[#This Row],[NOM]])),'T5'!$C$5:$E$105,3,FALSE),90)</f>
        <v>90</v>
      </c>
      <c r="J124" s="34">
        <f>_xlfn.IFNA(VLOOKUP(TRIM(CONCATENATE(Tableau2[[#This Row],[PRENOM]],Tableau2[[#This Row],[NOM]])),'T6'!$C$5:$E$118,3,FALSE),90)</f>
        <v>90</v>
      </c>
      <c r="K124" s="34">
        <f>_xlfn.IFNA(VLOOKUP(TRIM(CONCATENATE(Tableau2[[#This Row],[PRENOM]],Tableau2[[#This Row],[NOM]])),'T7'!$C$5:$E$106,3,FALSE),90)</f>
        <v>90</v>
      </c>
      <c r="L124" s="35">
        <f t="shared" si="12"/>
        <v>630</v>
      </c>
      <c r="M124" s="55">
        <f t="shared" si="13"/>
        <v>90</v>
      </c>
      <c r="N124" s="40">
        <f t="shared" si="14"/>
        <v>90</v>
      </c>
      <c r="O124" s="33">
        <f t="shared" si="15"/>
        <v>450</v>
      </c>
      <c r="P124" s="33">
        <f>RANK(Tableau2[[#This Row],[SCORE
Final 
2024]],Tableau2[SCORE
Final 
2024],1)</f>
        <v>38</v>
      </c>
    </row>
    <row r="125" spans="2:16" ht="21" customHeight="1" x14ac:dyDescent="0.4">
      <c r="B125" s="67" t="s">
        <v>56</v>
      </c>
      <c r="C125" s="14" t="s">
        <v>33</v>
      </c>
      <c r="D125" s="25" t="s">
        <v>8</v>
      </c>
      <c r="E125" s="69">
        <f>_xlfn.IFNA(VLOOKUP(TRIM(CONCATENATE(Tableau2[[#This Row],[PRENOM]],Tableau2[[#This Row],[NOM]])),'T1'!$C$5:$E$106,3,FALSE),90)</f>
        <v>90</v>
      </c>
      <c r="F125" s="69">
        <f>_xlfn.IFNA(VLOOKUP(TRIM(CONCATENATE(Tableau2[[#This Row],[PRENOM]],Tableau2[[#This Row],[NOM]])),'T2'!$C$5:$E$111,3,FALSE),90)</f>
        <v>90</v>
      </c>
      <c r="G125" s="69">
        <f>_xlfn.IFNA(VLOOKUP(TRIM(CONCATENATE(Tableau2[[#This Row],[PRENOM]],Tableau2[[#This Row],[NOM]])),'T3'!$C$5:$E$107,3,FALSE),90)</f>
        <v>90</v>
      </c>
      <c r="H125" s="69">
        <f>_xlfn.IFNA(VLOOKUP(TRIM(CONCATENATE(Tableau2[[#This Row],[PRENOM]],Tableau2[[#This Row],[NOM]])),'T4'!$C$5:$E$108,3,FALSE),90)</f>
        <v>90</v>
      </c>
      <c r="I125" s="69">
        <f>_xlfn.IFNA(VLOOKUP(TRIM(CONCATENATE(Tableau2[[#This Row],[PRENOM]],Tableau2[[#This Row],[NOM]])),'T5'!$C$5:$E$105,3,FALSE),90)</f>
        <v>90</v>
      </c>
      <c r="J125" s="69">
        <f>_xlfn.IFNA(VLOOKUP(TRIM(CONCATENATE(Tableau2[[#This Row],[PRENOM]],Tableau2[[#This Row],[NOM]])),'T6'!$C$5:$E$118,3,FALSE),90)</f>
        <v>90</v>
      </c>
      <c r="K125" s="69">
        <f>_xlfn.IFNA(VLOOKUP(TRIM(CONCATENATE(Tableau2[[#This Row],[PRENOM]],Tableau2[[#This Row],[NOM]])),'T7'!$C$5:$E$106,3,FALSE),90)</f>
        <v>90</v>
      </c>
      <c r="L125" s="130">
        <f t="shared" si="12"/>
        <v>630</v>
      </c>
      <c r="M125" s="186">
        <f t="shared" si="13"/>
        <v>90</v>
      </c>
      <c r="N125" s="72">
        <f t="shared" si="14"/>
        <v>90</v>
      </c>
      <c r="O125" s="33">
        <f t="shared" si="15"/>
        <v>450</v>
      </c>
      <c r="P125" s="33">
        <f>RANK(Tableau2[[#This Row],[SCORE
Final 
2024]],Tableau2[SCORE
Final 
2024],1)</f>
        <v>38</v>
      </c>
    </row>
    <row r="126" spans="2:16" ht="21" customHeight="1" x14ac:dyDescent="0.4">
      <c r="B126" s="67" t="s">
        <v>136</v>
      </c>
      <c r="C126" s="14" t="s">
        <v>137</v>
      </c>
      <c r="D126" s="57" t="s">
        <v>130</v>
      </c>
      <c r="E126" s="69">
        <f>_xlfn.IFNA(VLOOKUP(TRIM(CONCATENATE(Tableau2[[#This Row],[PRENOM]],Tableau2[[#This Row],[NOM]])),'T1'!$C$5:$E$106,3,FALSE),90)</f>
        <v>90</v>
      </c>
      <c r="F126" s="69">
        <f>_xlfn.IFNA(VLOOKUP(TRIM(CONCATENATE(Tableau2[[#This Row],[PRENOM]],Tableau2[[#This Row],[NOM]])),'T2'!$C$5:$E$111,3,FALSE),90)</f>
        <v>90</v>
      </c>
      <c r="G126" s="69">
        <f>_xlfn.IFNA(VLOOKUP(TRIM(CONCATENATE(Tableau2[[#This Row],[PRENOM]],Tableau2[[#This Row],[NOM]])),'T3'!$C$5:$E$107,3,FALSE),90)</f>
        <v>90</v>
      </c>
      <c r="H126" s="69">
        <f>_xlfn.IFNA(VLOOKUP(TRIM(CONCATENATE(Tableau2[[#This Row],[PRENOM]],Tableau2[[#This Row],[NOM]])),'T4'!$C$5:$E$108,3,FALSE),90)</f>
        <v>90</v>
      </c>
      <c r="I126" s="69">
        <f>_xlfn.IFNA(VLOOKUP(TRIM(CONCATENATE(Tableau2[[#This Row],[PRENOM]],Tableau2[[#This Row],[NOM]])),'T5'!$C$5:$E$105,3,FALSE),90)</f>
        <v>90</v>
      </c>
      <c r="J126" s="69">
        <f>_xlfn.IFNA(VLOOKUP(TRIM(CONCATENATE(Tableau2[[#This Row],[PRENOM]],Tableau2[[#This Row],[NOM]])),'T6'!$C$5:$E$118,3,FALSE),90)</f>
        <v>90</v>
      </c>
      <c r="K126" s="69">
        <f>_xlfn.IFNA(VLOOKUP(TRIM(CONCATENATE(Tableau2[[#This Row],[PRENOM]],Tableau2[[#This Row],[NOM]])),'T7'!$C$5:$E$106,3,FALSE),90)</f>
        <v>90</v>
      </c>
      <c r="L126" s="130">
        <f t="shared" si="12"/>
        <v>630</v>
      </c>
      <c r="M126" s="186">
        <f t="shared" si="13"/>
        <v>90</v>
      </c>
      <c r="N126" s="72">
        <f t="shared" si="14"/>
        <v>90</v>
      </c>
      <c r="O126" s="33">
        <f t="shared" si="15"/>
        <v>450</v>
      </c>
      <c r="P126" s="33">
        <f>RANK(Tableau2[[#This Row],[SCORE
Final 
2024]],Tableau2[SCORE
Final 
2024],1)</f>
        <v>38</v>
      </c>
    </row>
    <row r="127" spans="2:16" ht="21" customHeight="1" x14ac:dyDescent="0.4">
      <c r="B127" s="67" t="s">
        <v>29</v>
      </c>
      <c r="C127" s="14" t="s">
        <v>60</v>
      </c>
      <c r="D127" s="27" t="s">
        <v>74</v>
      </c>
      <c r="E127" s="34">
        <f>_xlfn.IFNA(VLOOKUP(TRIM(CONCATENATE(Tableau2[[#This Row],[PRENOM]],Tableau2[[#This Row],[NOM]])),'T1'!$C$5:$E$106,3,FALSE),90)</f>
        <v>90</v>
      </c>
      <c r="F127" s="69">
        <f>_xlfn.IFNA(VLOOKUP(TRIM(CONCATENATE(Tableau2[[#This Row],[PRENOM]],Tableau2[[#This Row],[NOM]])),'T2'!$C$5:$E$111,3,FALSE),90)</f>
        <v>90</v>
      </c>
      <c r="G127" s="34">
        <f>_xlfn.IFNA(VLOOKUP(TRIM(CONCATENATE(Tableau2[[#This Row],[PRENOM]],Tableau2[[#This Row],[NOM]])),'T3'!$C$5:$E$107,3,FALSE),90)</f>
        <v>90</v>
      </c>
      <c r="H127" s="34">
        <f>_xlfn.IFNA(VLOOKUP(TRIM(CONCATENATE(Tableau2[[#This Row],[PRENOM]],Tableau2[[#This Row],[NOM]])),'T4'!$C$5:$E$108,3,FALSE),90)</f>
        <v>90</v>
      </c>
      <c r="I127" s="34">
        <f>_xlfn.IFNA(VLOOKUP(TRIM(CONCATENATE(Tableau2[[#This Row],[PRENOM]],Tableau2[[#This Row],[NOM]])),'T5'!$C$5:$E$105,3,FALSE),90)</f>
        <v>90</v>
      </c>
      <c r="J127" s="34">
        <f>_xlfn.IFNA(VLOOKUP(TRIM(CONCATENATE(Tableau2[[#This Row],[PRENOM]],Tableau2[[#This Row],[NOM]])),'T6'!$C$5:$E$118,3,FALSE),90)</f>
        <v>90</v>
      </c>
      <c r="K127" s="34">
        <f>_xlfn.IFNA(VLOOKUP(TRIM(CONCATENATE(Tableau2[[#This Row],[PRENOM]],Tableau2[[#This Row],[NOM]])),'T7'!$C$5:$E$106,3,FALSE),90)</f>
        <v>90</v>
      </c>
      <c r="L127" s="35">
        <f t="shared" si="12"/>
        <v>630</v>
      </c>
      <c r="M127" s="55">
        <f t="shared" si="13"/>
        <v>90</v>
      </c>
      <c r="N127" s="40">
        <f t="shared" si="14"/>
        <v>90</v>
      </c>
      <c r="O127" s="33">
        <f t="shared" si="15"/>
        <v>450</v>
      </c>
      <c r="P127" s="33">
        <f>RANK(Tableau2[[#This Row],[SCORE
Final 
2024]],Tableau2[SCORE
Final 
2024],1)</f>
        <v>38</v>
      </c>
    </row>
    <row r="128" spans="2:16" ht="21" customHeight="1" x14ac:dyDescent="0.4">
      <c r="B128" s="67" t="s">
        <v>100</v>
      </c>
      <c r="C128" s="14" t="s">
        <v>58</v>
      </c>
      <c r="D128" s="232" t="s">
        <v>74</v>
      </c>
      <c r="E128" s="69">
        <f>_xlfn.IFNA(VLOOKUP(TRIM(CONCATENATE(Tableau2[[#This Row],[PRENOM]],Tableau2[[#This Row],[NOM]])),'T1'!$C$5:$E$106,3,FALSE),90)</f>
        <v>90</v>
      </c>
      <c r="F128" s="69">
        <f>_xlfn.IFNA(VLOOKUP(TRIM(CONCATENATE(Tableau2[[#This Row],[PRENOM]],Tableau2[[#This Row],[NOM]])),'T2'!$C$5:$E$111,3,FALSE),90)</f>
        <v>90</v>
      </c>
      <c r="G128" s="69">
        <f>_xlfn.IFNA(VLOOKUP(TRIM(CONCATENATE(Tableau2[[#This Row],[PRENOM]],Tableau2[[#This Row],[NOM]])),'T3'!$C$5:$E$107,3,FALSE),90)</f>
        <v>90</v>
      </c>
      <c r="H128" s="69">
        <f>_xlfn.IFNA(VLOOKUP(TRIM(CONCATENATE(Tableau2[[#This Row],[PRENOM]],Tableau2[[#This Row],[NOM]])),'T4'!$C$5:$E$108,3,FALSE),90)</f>
        <v>90</v>
      </c>
      <c r="I128" s="69">
        <f>_xlfn.IFNA(VLOOKUP(TRIM(CONCATENATE(Tableau2[[#This Row],[PRENOM]],Tableau2[[#This Row],[NOM]])),'T5'!$C$5:$E$105,3,FALSE),90)</f>
        <v>90</v>
      </c>
      <c r="J128" s="69">
        <f>_xlfn.IFNA(VLOOKUP(TRIM(CONCATENATE(Tableau2[[#This Row],[PRENOM]],Tableau2[[#This Row],[NOM]])),'T6'!$C$5:$E$118,3,FALSE),90)</f>
        <v>90</v>
      </c>
      <c r="K128" s="69">
        <f>_xlfn.IFNA(VLOOKUP(TRIM(CONCATENATE(Tableau2[[#This Row],[PRENOM]],Tableau2[[#This Row],[NOM]])),'T7'!$C$5:$E$106,3,FALSE),90)</f>
        <v>90</v>
      </c>
      <c r="L128" s="130">
        <f t="shared" si="12"/>
        <v>630</v>
      </c>
      <c r="M128" s="186">
        <f t="shared" si="13"/>
        <v>90</v>
      </c>
      <c r="N128" s="72">
        <f t="shared" si="14"/>
        <v>90</v>
      </c>
      <c r="O128" s="33">
        <f t="shared" si="15"/>
        <v>450</v>
      </c>
      <c r="P128" s="33">
        <f>RANK(Tableau2[[#This Row],[SCORE
Final 
2024]],Tableau2[SCORE
Final 
2024],1)</f>
        <v>38</v>
      </c>
    </row>
    <row r="129" spans="2:16" ht="21" customHeight="1" x14ac:dyDescent="0.4">
      <c r="B129" s="67" t="s">
        <v>61</v>
      </c>
      <c r="C129" s="14" t="s">
        <v>62</v>
      </c>
      <c r="D129" s="232" t="s">
        <v>74</v>
      </c>
      <c r="E129" s="69">
        <f>_xlfn.IFNA(VLOOKUP(TRIM(CONCATENATE(Tableau2[[#This Row],[PRENOM]],Tableau2[[#This Row],[NOM]])),'T1'!$C$5:$E$106,3,FALSE),90)</f>
        <v>90</v>
      </c>
      <c r="F129" s="69">
        <f>_xlfn.IFNA(VLOOKUP(TRIM(CONCATENATE(Tableau2[[#This Row],[PRENOM]],Tableau2[[#This Row],[NOM]])),'T2'!$C$5:$E$111,3,FALSE),90)</f>
        <v>90</v>
      </c>
      <c r="G129" s="69">
        <f>_xlfn.IFNA(VLOOKUP(TRIM(CONCATENATE(Tableau2[[#This Row],[PRENOM]],Tableau2[[#This Row],[NOM]])),'T3'!$C$5:$E$107,3,FALSE),90)</f>
        <v>90</v>
      </c>
      <c r="H129" s="69">
        <f>_xlfn.IFNA(VLOOKUP(TRIM(CONCATENATE(Tableau2[[#This Row],[PRENOM]],Tableau2[[#This Row],[NOM]])),'T4'!$C$5:$E$108,3,FALSE),90)</f>
        <v>90</v>
      </c>
      <c r="I129" s="69">
        <f>_xlfn.IFNA(VLOOKUP(TRIM(CONCATENATE(Tableau2[[#This Row],[PRENOM]],Tableau2[[#This Row],[NOM]])),'T5'!$C$5:$E$105,3,FALSE),90)</f>
        <v>90</v>
      </c>
      <c r="J129" s="69">
        <f>_xlfn.IFNA(VLOOKUP(TRIM(CONCATENATE(Tableau2[[#This Row],[PRENOM]],Tableau2[[#This Row],[NOM]])),'T6'!$C$5:$E$118,3,FALSE),90)</f>
        <v>90</v>
      </c>
      <c r="K129" s="69">
        <f>_xlfn.IFNA(VLOOKUP(TRIM(CONCATENATE(Tableau2[[#This Row],[PRENOM]],Tableau2[[#This Row],[NOM]])),'T7'!$C$5:$E$106,3,FALSE),90)</f>
        <v>90</v>
      </c>
      <c r="L129" s="130">
        <f t="shared" si="12"/>
        <v>630</v>
      </c>
      <c r="M129" s="186">
        <f t="shared" si="13"/>
        <v>90</v>
      </c>
      <c r="N129" s="72">
        <f t="shared" si="14"/>
        <v>90</v>
      </c>
      <c r="O129" s="33">
        <f t="shared" si="15"/>
        <v>450</v>
      </c>
      <c r="P129" s="33">
        <f>RANK(Tableau2[[#This Row],[SCORE
Final 
2024]],Tableau2[SCORE
Final 
2024],1)</f>
        <v>38</v>
      </c>
    </row>
    <row r="130" spans="2:16" ht="21" customHeight="1" x14ac:dyDescent="0.4">
      <c r="B130" s="67" t="s">
        <v>145</v>
      </c>
      <c r="C130" s="14" t="s">
        <v>142</v>
      </c>
      <c r="D130" s="28" t="s">
        <v>26</v>
      </c>
      <c r="E130" s="34">
        <f>_xlfn.IFNA(VLOOKUP(TRIM(CONCATENATE(Tableau2[[#This Row],[PRENOM]],Tableau2[[#This Row],[NOM]])),'T1'!$C$5:$E$106,3,FALSE),90)</f>
        <v>90</v>
      </c>
      <c r="F130" s="69">
        <f>_xlfn.IFNA(VLOOKUP(TRIM(CONCATENATE(Tableau2[[#This Row],[PRENOM]],Tableau2[[#This Row],[NOM]])),'T2'!$C$5:$E$111,3,FALSE),90)</f>
        <v>90</v>
      </c>
      <c r="G130" s="34">
        <f>_xlfn.IFNA(VLOOKUP(TRIM(CONCATENATE(Tableau2[[#This Row],[PRENOM]],Tableau2[[#This Row],[NOM]])),'T3'!$C$5:$E$107,3,FALSE),90)</f>
        <v>90</v>
      </c>
      <c r="H130" s="34">
        <f>_xlfn.IFNA(VLOOKUP(TRIM(CONCATENATE(Tableau2[[#This Row],[PRENOM]],Tableau2[[#This Row],[NOM]])),'T4'!$C$5:$E$108,3,FALSE),90)</f>
        <v>90</v>
      </c>
      <c r="I130" s="34">
        <f>_xlfn.IFNA(VLOOKUP(TRIM(CONCATENATE(Tableau2[[#This Row],[PRENOM]],Tableau2[[#This Row],[NOM]])),'T5'!$C$5:$E$105,3,FALSE),90)</f>
        <v>90</v>
      </c>
      <c r="J130" s="34">
        <f>_xlfn.IFNA(VLOOKUP(TRIM(CONCATENATE(Tableau2[[#This Row],[PRENOM]],Tableau2[[#This Row],[NOM]])),'T6'!$C$5:$E$118,3,FALSE),90)</f>
        <v>90</v>
      </c>
      <c r="K130" s="34">
        <f>_xlfn.IFNA(VLOOKUP(TRIM(CONCATENATE(Tableau2[[#This Row],[PRENOM]],Tableau2[[#This Row],[NOM]])),'T7'!$C$5:$E$106,3,FALSE),90)</f>
        <v>90</v>
      </c>
      <c r="L130" s="35">
        <f t="shared" si="12"/>
        <v>630</v>
      </c>
      <c r="M130" s="55">
        <f t="shared" si="13"/>
        <v>90</v>
      </c>
      <c r="N130" s="40">
        <f t="shared" si="14"/>
        <v>90</v>
      </c>
      <c r="O130" s="33">
        <f t="shared" si="15"/>
        <v>450</v>
      </c>
      <c r="P130" s="33">
        <f>RANK(Tableau2[[#This Row],[SCORE
Final 
2024]],Tableau2[SCORE
Final 
2024],1)</f>
        <v>38</v>
      </c>
    </row>
    <row r="132" spans="2:16" ht="22.5" x14ac:dyDescent="0.45">
      <c r="B132" s="22" t="s">
        <v>104</v>
      </c>
      <c r="C132" s="258" t="s">
        <v>102</v>
      </c>
      <c r="D132" s="259"/>
    </row>
    <row r="133" spans="2:16" ht="22.5" x14ac:dyDescent="0.45">
      <c r="B133" s="23" t="s">
        <v>105</v>
      </c>
      <c r="C133" s="258" t="s">
        <v>103</v>
      </c>
      <c r="D133" s="259"/>
    </row>
  </sheetData>
  <sheetProtection selectLockedCells="1" selectUnlockedCells="1"/>
  <mergeCells count="3">
    <mergeCell ref="A1:O1"/>
    <mergeCell ref="C133:D133"/>
    <mergeCell ref="C132:D132"/>
  </mergeCells>
  <dataValidations count="1">
    <dataValidation type="list" allowBlank="1" showInputMessage="1" showErrorMessage="1" sqref="C29" xr:uid="{00000000-0002-0000-0000-000000000000}">
      <formula1>NOM</formula1>
    </dataValidation>
  </dataValidations>
  <pageMargins left="0.39374999999999999" right="0.39374999999999999" top="0.39374999999999999" bottom="0.39374999999999999" header="0.51180555555555551" footer="0.51180555555555551"/>
  <pageSetup paperSize="9" orientation="portrait" horizontalDpi="4294967292" verticalDpi="4294967292" r:id="rId1"/>
  <drawing r:id="rId2"/>
  <tableParts count="2">
    <tablePart r:id="rId3"/>
    <tablePart r:id="rId4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L20"/>
  <sheetViews>
    <sheetView zoomScale="85" zoomScaleNormal="85" zoomScalePageLayoutView="85" workbookViewId="0">
      <selection sqref="A1:L1"/>
    </sheetView>
  </sheetViews>
  <sheetFormatPr baseColWidth="10" defaultRowHeight="18" x14ac:dyDescent="0.25"/>
  <cols>
    <col min="1" max="1" width="8.42578125" style="9" customWidth="1"/>
    <col min="2" max="2" width="32.42578125" style="10" customWidth="1"/>
    <col min="3" max="3" width="17.140625" customWidth="1"/>
    <col min="4" max="4" width="24.42578125" customWidth="1"/>
    <col min="5" max="5" width="18.7109375" style="11" customWidth="1"/>
    <col min="6" max="6" width="16.85546875" style="11" customWidth="1"/>
    <col min="7" max="7" width="12.42578125" style="11" customWidth="1"/>
    <col min="8" max="8" width="15.42578125" style="11" customWidth="1"/>
    <col min="9" max="9" width="16.42578125" style="12" customWidth="1"/>
    <col min="10" max="10" width="14.85546875" style="12" customWidth="1"/>
    <col min="11" max="11" width="5.42578125" style="11" customWidth="1"/>
    <col min="12" max="12" width="11" style="9" customWidth="1"/>
    <col min="13" max="13" width="10.7109375" bestFit="1" customWidth="1"/>
  </cols>
  <sheetData>
    <row r="1" spans="1:12" ht="77.45" customHeight="1" thickBot="1" x14ac:dyDescent="0.25">
      <c r="A1" s="260" t="s">
        <v>188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</row>
    <row r="2" spans="1:12" ht="12.75" customHeight="1" x14ac:dyDescent="0.4">
      <c r="A2" s="1"/>
      <c r="B2" s="2"/>
      <c r="C2" s="2"/>
      <c r="D2" s="2"/>
      <c r="E2" s="3"/>
      <c r="F2" s="3"/>
      <c r="G2" s="3"/>
      <c r="H2" s="3"/>
      <c r="I2" s="4"/>
      <c r="J2" s="4"/>
      <c r="K2" s="3"/>
      <c r="L2" s="1"/>
    </row>
    <row r="3" spans="1:12" x14ac:dyDescent="0.25">
      <c r="D3" s="179" t="s">
        <v>242</v>
      </c>
    </row>
    <row r="5" spans="1:12" ht="33" x14ac:dyDescent="0.25">
      <c r="B5" s="176" t="s">
        <v>201</v>
      </c>
      <c r="C5" s="177" t="s">
        <v>26</v>
      </c>
      <c r="D5" s="177" t="s">
        <v>19</v>
      </c>
      <c r="E5" s="177" t="s">
        <v>74</v>
      </c>
      <c r="F5" s="177" t="s">
        <v>243</v>
      </c>
      <c r="G5" s="177" t="s">
        <v>244</v>
      </c>
      <c r="H5" s="177" t="s">
        <v>13</v>
      </c>
      <c r="I5" s="177" t="s">
        <v>8</v>
      </c>
      <c r="J5" s="178" t="s">
        <v>245</v>
      </c>
      <c r="K5" s="216" t="s">
        <v>186</v>
      </c>
      <c r="L5"/>
    </row>
    <row r="6" spans="1:12" ht="23.25" x14ac:dyDescent="0.25">
      <c r="B6" s="174" t="s">
        <v>13</v>
      </c>
      <c r="C6" s="114">
        <f>'T1'!$P7</f>
        <v>185</v>
      </c>
      <c r="D6" s="173">
        <f>'T2'!$P7</f>
        <v>192</v>
      </c>
      <c r="E6" s="173">
        <f>'T3'!$P7</f>
        <v>173</v>
      </c>
      <c r="F6" s="173">
        <f>'T4'!$P7</f>
        <v>183</v>
      </c>
      <c r="G6" s="129">
        <f>'T5'!$P7</f>
        <v>167</v>
      </c>
      <c r="H6" s="129">
        <f>'T6'!$P7</f>
        <v>164</v>
      </c>
      <c r="I6" s="173">
        <f>'T7'!$P7</f>
        <v>177</v>
      </c>
      <c r="J6" s="172">
        <f t="shared" ref="J6:J12" si="0">SUM(C6:I6)</f>
        <v>1241</v>
      </c>
      <c r="K6" s="229">
        <v>1</v>
      </c>
      <c r="L6"/>
    </row>
    <row r="7" spans="1:12" ht="23.25" x14ac:dyDescent="0.25">
      <c r="B7" s="174" t="s">
        <v>130</v>
      </c>
      <c r="C7" s="114">
        <f>'T1'!$P8</f>
        <v>184</v>
      </c>
      <c r="D7" s="173">
        <f>'T2'!$P8</f>
        <v>203</v>
      </c>
      <c r="E7" s="173">
        <f>'T3'!$P8</f>
        <v>180</v>
      </c>
      <c r="F7" s="173">
        <f>'T4'!$P8</f>
        <v>189</v>
      </c>
      <c r="G7" s="129">
        <f>'T5'!$P8</f>
        <v>185</v>
      </c>
      <c r="H7" s="129">
        <f>'T6'!$P8</f>
        <v>170</v>
      </c>
      <c r="I7" s="173">
        <f>'T7'!$P8</f>
        <v>185</v>
      </c>
      <c r="J7" s="172">
        <f t="shared" si="0"/>
        <v>1296</v>
      </c>
      <c r="K7" s="229">
        <v>2</v>
      </c>
      <c r="L7"/>
    </row>
    <row r="8" spans="1:12" ht="23.25" x14ac:dyDescent="0.25">
      <c r="B8" s="174" t="s">
        <v>74</v>
      </c>
      <c r="C8" s="114">
        <f>'T1'!$P12</f>
        <v>185</v>
      </c>
      <c r="D8" s="173">
        <f>'T2'!$P12</f>
        <v>205</v>
      </c>
      <c r="E8" s="173">
        <f>'T3'!$P12</f>
        <v>163</v>
      </c>
      <c r="F8" s="173">
        <f>'T4'!$P12</f>
        <v>197</v>
      </c>
      <c r="G8" s="129">
        <f>'T5'!$P12</f>
        <v>195</v>
      </c>
      <c r="H8" s="129">
        <f>'T6'!$P12</f>
        <v>175</v>
      </c>
      <c r="I8" s="173">
        <f>'T7'!$P12</f>
        <v>178</v>
      </c>
      <c r="J8" s="172">
        <f t="shared" si="0"/>
        <v>1298</v>
      </c>
      <c r="K8" s="229">
        <v>3</v>
      </c>
      <c r="L8"/>
    </row>
    <row r="9" spans="1:12" ht="23.25" x14ac:dyDescent="0.25">
      <c r="B9" s="174" t="s">
        <v>19</v>
      </c>
      <c r="C9" s="114">
        <f>'T1'!$P10</f>
        <v>179</v>
      </c>
      <c r="D9" s="173">
        <f>'T2'!$P10</f>
        <v>189</v>
      </c>
      <c r="E9" s="173">
        <f>'T3'!$P10</f>
        <v>181</v>
      </c>
      <c r="F9" s="173">
        <f>'T4'!$P10</f>
        <v>209</v>
      </c>
      <c r="G9" s="129">
        <f>'T5'!$P10</f>
        <v>190</v>
      </c>
      <c r="H9" s="129">
        <f>'T6'!$P10</f>
        <v>176</v>
      </c>
      <c r="I9" s="173">
        <f>'T7'!$P10</f>
        <v>181</v>
      </c>
      <c r="J9" s="172">
        <f t="shared" si="0"/>
        <v>1305</v>
      </c>
      <c r="K9" s="229">
        <v>4</v>
      </c>
      <c r="L9"/>
    </row>
    <row r="10" spans="1:12" ht="23.25" x14ac:dyDescent="0.25">
      <c r="B10" s="174" t="s">
        <v>8</v>
      </c>
      <c r="C10" s="114">
        <f>'T1'!$P11</f>
        <v>190</v>
      </c>
      <c r="D10" s="173">
        <f>'T2'!$P11</f>
        <v>197</v>
      </c>
      <c r="E10" s="173">
        <f>'T3'!$P11</f>
        <v>184</v>
      </c>
      <c r="F10" s="173">
        <f>'T4'!$P11</f>
        <v>205</v>
      </c>
      <c r="G10" s="129">
        <f>'T5'!$P11</f>
        <v>194</v>
      </c>
      <c r="H10" s="129">
        <f>'T6'!$P11</f>
        <v>193</v>
      </c>
      <c r="I10" s="173">
        <f>'T7'!$P11</f>
        <v>181</v>
      </c>
      <c r="J10" s="172">
        <f t="shared" si="0"/>
        <v>1344</v>
      </c>
      <c r="K10" s="229">
        <v>5</v>
      </c>
      <c r="L10"/>
    </row>
    <row r="11" spans="1:12" ht="23.25" x14ac:dyDescent="0.25">
      <c r="B11" s="174" t="s">
        <v>26</v>
      </c>
      <c r="C11" s="114">
        <f>'T1'!$P13</f>
        <v>204</v>
      </c>
      <c r="D11" s="173">
        <f>'T2'!$P13</f>
        <v>240</v>
      </c>
      <c r="E11" s="173">
        <f>'T3'!$P13</f>
        <v>222</v>
      </c>
      <c r="F11" s="173">
        <f>'T4'!$P13</f>
        <v>257</v>
      </c>
      <c r="G11" s="129">
        <f>'T5'!$P13</f>
        <v>228</v>
      </c>
      <c r="H11" s="129">
        <f>'T6'!$P13</f>
        <v>238</v>
      </c>
      <c r="I11" s="173">
        <f>'T7'!$P13</f>
        <v>215</v>
      </c>
      <c r="J11" s="172">
        <f t="shared" si="0"/>
        <v>1604</v>
      </c>
      <c r="K11" s="229">
        <v>6</v>
      </c>
      <c r="L11"/>
    </row>
    <row r="12" spans="1:12" ht="31.5" customHeight="1" x14ac:dyDescent="0.25">
      <c r="B12" s="175" t="s">
        <v>184</v>
      </c>
      <c r="C12" s="114">
        <f>'T1'!$P9</f>
        <v>270</v>
      </c>
      <c r="D12" s="173">
        <f>'T2'!$P9</f>
        <v>270</v>
      </c>
      <c r="E12" s="173">
        <f>'T3'!$P9</f>
        <v>270</v>
      </c>
      <c r="F12" s="173">
        <f>'T4'!$P9</f>
        <v>270</v>
      </c>
      <c r="G12" s="129">
        <f>'T5'!$P9</f>
        <v>270</v>
      </c>
      <c r="H12" s="129">
        <f>'T6'!$P9</f>
        <v>270</v>
      </c>
      <c r="I12" s="173">
        <f>'T7'!$P9</f>
        <v>270</v>
      </c>
      <c r="J12" s="172">
        <f t="shared" si="0"/>
        <v>1890</v>
      </c>
      <c r="K12" s="229">
        <v>7</v>
      </c>
      <c r="L12"/>
    </row>
    <row r="14" spans="1:12" x14ac:dyDescent="0.25">
      <c r="E14"/>
      <c r="F14"/>
    </row>
    <row r="15" spans="1:12" x14ac:dyDescent="0.25">
      <c r="E15"/>
      <c r="F15"/>
    </row>
    <row r="16" spans="1:12" x14ac:dyDescent="0.25">
      <c r="E16"/>
      <c r="F16"/>
    </row>
    <row r="17" spans="5:6" x14ac:dyDescent="0.25">
      <c r="E17"/>
      <c r="F17"/>
    </row>
    <row r="18" spans="5:6" x14ac:dyDescent="0.25">
      <c r="E18"/>
      <c r="F18"/>
    </row>
    <row r="19" spans="5:6" x14ac:dyDescent="0.25">
      <c r="E19"/>
      <c r="F19"/>
    </row>
    <row r="20" spans="5:6" x14ac:dyDescent="0.25">
      <c r="E20"/>
      <c r="F20"/>
    </row>
  </sheetData>
  <sheetProtection selectLockedCells="1" selectUnlockedCells="1"/>
  <mergeCells count="1">
    <mergeCell ref="A1:L1"/>
  </mergeCells>
  <pageMargins left="0.39374999999999999" right="0.39374999999999999" top="0.39374999999999999" bottom="0.39374999999999999" header="0.51180555555555551" footer="0.51180555555555551"/>
  <pageSetup paperSize="9" orientation="portrait" horizontalDpi="4294967292" verticalDpi="4294967292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U77"/>
  <sheetViews>
    <sheetView topLeftCell="A39" workbookViewId="0">
      <selection activeCell="E39" sqref="E39"/>
    </sheetView>
  </sheetViews>
  <sheetFormatPr baseColWidth="10" defaultRowHeight="12.75" x14ac:dyDescent="0.2"/>
  <cols>
    <col min="1" max="1" width="30.140625" bestFit="1" customWidth="1"/>
    <col min="2" max="2" width="19.140625" customWidth="1"/>
    <col min="3" max="3" width="13.140625" hidden="1" customWidth="1"/>
    <col min="4" max="4" width="4.7109375" customWidth="1"/>
    <col min="5" max="5" width="8.42578125" customWidth="1"/>
    <col min="6" max="6" width="8.7109375" customWidth="1"/>
    <col min="7" max="7" width="14.28515625" bestFit="1" customWidth="1"/>
    <col min="8" max="8" width="3" customWidth="1"/>
    <col min="9" max="9" width="3.7109375" customWidth="1"/>
    <col min="10" max="10" width="21.140625" customWidth="1"/>
    <col min="11" max="11" width="18" customWidth="1"/>
    <col min="12" max="12" width="15.28515625" customWidth="1"/>
    <col min="13" max="13" width="13" bestFit="1" customWidth="1"/>
    <col min="14" max="14" width="11" customWidth="1"/>
    <col min="15" max="15" width="12.85546875" hidden="1" customWidth="1"/>
    <col min="16" max="16" width="8.140625" hidden="1" customWidth="1"/>
    <col min="17" max="17" width="6.85546875" hidden="1" customWidth="1"/>
    <col min="18" max="18" width="4.85546875" customWidth="1"/>
    <col min="19" max="19" width="30.42578125" bestFit="1" customWidth="1"/>
    <col min="20" max="20" width="9.42578125" bestFit="1" customWidth="1"/>
    <col min="21" max="21" width="13" bestFit="1" customWidth="1"/>
  </cols>
  <sheetData>
    <row r="1" spans="1:21" ht="67.7" customHeight="1" thickBot="1" x14ac:dyDescent="0.25">
      <c r="A1" s="261" t="s">
        <v>205</v>
      </c>
      <c r="B1" s="262"/>
      <c r="C1" s="262"/>
      <c r="D1" s="262"/>
      <c r="E1" s="262"/>
      <c r="F1" s="262"/>
      <c r="G1" s="262"/>
      <c r="H1" s="262"/>
      <c r="I1" s="263"/>
    </row>
    <row r="3" spans="1:21" ht="20.25" thickBot="1" x14ac:dyDescent="0.25">
      <c r="A3" s="270" t="s">
        <v>13</v>
      </c>
      <c r="B3" s="271"/>
      <c r="C3" s="271"/>
      <c r="D3" s="271"/>
    </row>
    <row r="4" spans="1:21" ht="20.100000000000001" customHeight="1" thickBot="1" x14ac:dyDescent="0.25">
      <c r="A4" s="93" t="s">
        <v>180</v>
      </c>
      <c r="B4" s="94" t="s">
        <v>81</v>
      </c>
      <c r="C4" s="95" t="s">
        <v>186</v>
      </c>
      <c r="D4" s="95" t="s">
        <v>194</v>
      </c>
      <c r="E4" s="77" t="s">
        <v>181</v>
      </c>
      <c r="G4" s="100" t="s">
        <v>187</v>
      </c>
    </row>
    <row r="5" spans="1:21" ht="20.100000000000001" customHeight="1" x14ac:dyDescent="0.2">
      <c r="A5" s="79" t="s">
        <v>11</v>
      </c>
      <c r="B5" s="79" t="s">
        <v>12</v>
      </c>
      <c r="C5" s="92" t="str">
        <f>TRIM(CONCATENATE(B5,A5))</f>
        <v>AlainJEANDREAU</v>
      </c>
      <c r="D5" s="105" t="s">
        <v>192</v>
      </c>
      <c r="E5" s="77">
        <v>61</v>
      </c>
      <c r="G5" s="101">
        <f>SMALL(Tableau3[BRUT],1)</f>
        <v>61</v>
      </c>
      <c r="J5" s="264" t="s">
        <v>189</v>
      </c>
      <c r="K5" s="265"/>
      <c r="L5" s="125" t="s">
        <v>190</v>
      </c>
      <c r="M5" s="103" t="s">
        <v>191</v>
      </c>
    </row>
    <row r="6" spans="1:21" ht="20.100000000000001" customHeight="1" x14ac:dyDescent="0.2">
      <c r="A6" s="79" t="s">
        <v>49</v>
      </c>
      <c r="B6" s="79" t="s">
        <v>50</v>
      </c>
      <c r="C6" s="92" t="str">
        <f t="shared" ref="C6:C75" si="0">TRIM(CONCATENATE(B6,A6))</f>
        <v>ChristianMOULIN</v>
      </c>
      <c r="D6" s="105" t="s">
        <v>192</v>
      </c>
      <c r="E6" s="77">
        <v>64</v>
      </c>
      <c r="G6" s="101">
        <f>SMALL(Tableau3[BRUT],2)</f>
        <v>62</v>
      </c>
      <c r="J6" s="107" t="str">
        <f t="array" ref="J6">IFERROR(INDEX(A$5:A$100, MATCH(1, (D$5:D$100="F")*(E$5:E$100=L6)*(COUNTIF(J$5:J5,A$5:A$100)=0), 0)),"")</f>
        <v>VIDAL</v>
      </c>
      <c r="K6" s="107" t="str">
        <f t="array" ref="K6">IFERROR(INDEX(B$5:B$100, MATCH(1, (D$5:D$100="F")*(E$5:E$100=L6)*(COUNTIF(L$5:L5,E$5:E$100)=0), 0)),"")</f>
        <v>Odile</v>
      </c>
      <c r="L6" s="126">
        <f t="array" ref="L6">IFERROR(SMALL(IF(D$6:D$100="F",E$6:E$100), ROW(A1)),"")</f>
        <v>64</v>
      </c>
      <c r="M6" s="104">
        <v>1</v>
      </c>
      <c r="O6" s="120" t="s">
        <v>201</v>
      </c>
      <c r="P6" s="121" t="s">
        <v>202</v>
      </c>
      <c r="Q6" s="122" t="s">
        <v>191</v>
      </c>
      <c r="S6" s="116" t="s">
        <v>201</v>
      </c>
      <c r="T6" s="128" t="s">
        <v>202</v>
      </c>
      <c r="U6" s="118" t="s">
        <v>191</v>
      </c>
    </row>
    <row r="7" spans="1:21" ht="20.100000000000001" customHeight="1" x14ac:dyDescent="0.2">
      <c r="A7" s="79" t="s">
        <v>152</v>
      </c>
      <c r="B7" s="79" t="s">
        <v>24</v>
      </c>
      <c r="C7" s="92" t="str">
        <f t="shared" si="0"/>
        <v>Jean LouisSANITAS</v>
      </c>
      <c r="D7" s="105" t="s">
        <v>192</v>
      </c>
      <c r="E7" s="78">
        <v>66</v>
      </c>
      <c r="G7" s="101">
        <f>SMALL(Tableau3[BRUT],3)</f>
        <v>62</v>
      </c>
      <c r="J7" s="108" t="str">
        <f t="array" ref="J7">IFERROR(INDEX(A$6:A$100, MATCH(1, (D$6:D$100="F")*(E$6:E$100=L7)*(COUNTIF(J$5:J6,A$6:A$100)=0), 0)),"")</f>
        <v>PERRIER</v>
      </c>
      <c r="K7" s="108" t="str">
        <f t="array" ref="K7">IFERROR(INDEX(B$6:B$100, MATCH(1, (D$6:D$100="F")*(E$6:E$100=L7)*(COUNTIF(K$5:K6,B$6:B$100)=0), 0)),"")</f>
        <v>Huguette</v>
      </c>
      <c r="L7" s="126">
        <f t="array" ref="L7">IFERROR(SMALL(IF((D$5:D$100="F")*(COUNTIF(L$5:L5,E$5:E$100)=0), E$5:E$100), ROW(A2)),"")</f>
        <v>65</v>
      </c>
      <c r="M7" s="104">
        <v>2</v>
      </c>
      <c r="O7" s="119" t="str">
        <f>A3</f>
        <v>RIOM</v>
      </c>
      <c r="P7" s="114">
        <f>SUM(G5:G7)</f>
        <v>185</v>
      </c>
      <c r="Q7" s="104">
        <f>RANK(P7, P$7:P$13, 1) + COUNTIF(P$7:P7, P7) - 1</f>
        <v>3</v>
      </c>
      <c r="S7" s="117" t="str">
        <f>INDEX(O$7:O$13, MATCH(ROW(A1), Q$7:Q$13, 0))</f>
        <v>VAL D'AUZON</v>
      </c>
      <c r="T7" s="129">
        <f>INDEX(P$7:P$13, MATCH(ROW(A1), Q$7:Q$13, 0))</f>
        <v>179</v>
      </c>
      <c r="U7" s="104">
        <f>ROW(A1)</f>
        <v>1</v>
      </c>
    </row>
    <row r="8" spans="1:21" ht="20.100000000000001" customHeight="1" x14ac:dyDescent="0.2">
      <c r="A8" s="79" t="s">
        <v>51</v>
      </c>
      <c r="B8" s="79" t="s">
        <v>44</v>
      </c>
      <c r="C8" s="92" t="str">
        <f t="shared" si="0"/>
        <v>JackyMACHAJ</v>
      </c>
      <c r="D8" s="105" t="s">
        <v>192</v>
      </c>
      <c r="E8" s="77">
        <v>67</v>
      </c>
      <c r="O8" s="119" t="str">
        <f>A13</f>
        <v>GAZELEC CLERMONT</v>
      </c>
      <c r="P8" s="114">
        <f>SUM(G15:G17)</f>
        <v>184</v>
      </c>
      <c r="Q8" s="104">
        <f>RANK(P8, P$7:P$13, 1) + COUNTIF(P$7:P8, P8) - 1</f>
        <v>2</v>
      </c>
      <c r="S8" s="117" t="str">
        <f t="shared" ref="S8:S13" si="1">INDEX(O$7:O$13, MATCH(ROW(A2), Q$7:Q$13, 0))</f>
        <v>GAZELEC CLERMONT</v>
      </c>
      <c r="T8" s="129">
        <f t="shared" ref="T8:T13" si="2">INDEX(P$7:P$13, MATCH(ROW(A2), Q$7:Q$13, 0))</f>
        <v>184</v>
      </c>
      <c r="U8" s="104">
        <f t="shared" ref="U8:U13" si="3">ROW(A2)</f>
        <v>2</v>
      </c>
    </row>
    <row r="9" spans="1:21" ht="20.100000000000001" customHeight="1" x14ac:dyDescent="0.2">
      <c r="A9" s="79" t="s">
        <v>182</v>
      </c>
      <c r="B9" s="79" t="s">
        <v>183</v>
      </c>
      <c r="C9" s="92" t="str">
        <f t="shared" si="0"/>
        <v>RolandJUHLIEN</v>
      </c>
      <c r="D9" s="105" t="s">
        <v>192</v>
      </c>
      <c r="E9" s="78">
        <v>62</v>
      </c>
      <c r="O9" s="119" t="str">
        <f>A27</f>
        <v>GAZELEC MOULINS/VICHY</v>
      </c>
      <c r="P9" s="114">
        <f>SUM(G29:G31)</f>
        <v>270</v>
      </c>
      <c r="Q9" s="104">
        <f>RANK(P9, P$7:P$13, 1) + COUNTIF(P$7:P9, P9) - 1</f>
        <v>7</v>
      </c>
      <c r="S9" s="117" t="str">
        <f t="shared" si="1"/>
        <v>RIOM</v>
      </c>
      <c r="T9" s="129">
        <f t="shared" si="2"/>
        <v>185</v>
      </c>
      <c r="U9" s="104">
        <f t="shared" si="3"/>
        <v>3</v>
      </c>
    </row>
    <row r="10" spans="1:21" ht="20.100000000000001" customHeight="1" x14ac:dyDescent="0.2">
      <c r="A10" s="79" t="s">
        <v>138</v>
      </c>
      <c r="B10" s="79" t="s">
        <v>44</v>
      </c>
      <c r="C10" s="92" t="str">
        <f t="shared" si="0"/>
        <v>JackyPEGEON</v>
      </c>
      <c r="D10" s="105" t="s">
        <v>192</v>
      </c>
      <c r="E10" s="78">
        <v>62</v>
      </c>
      <c r="J10" s="264" t="s">
        <v>195</v>
      </c>
      <c r="K10" s="265"/>
      <c r="L10" s="125" t="s">
        <v>190</v>
      </c>
      <c r="M10" s="103" t="s">
        <v>191</v>
      </c>
      <c r="O10" s="119" t="str">
        <f>A35</f>
        <v>VAL D'AUZON</v>
      </c>
      <c r="P10" s="114">
        <f>SUM(G37:G39)</f>
        <v>179</v>
      </c>
      <c r="Q10" s="104">
        <f>RANK(P10, P$7:P$13, 1) + COUNTIF(P$7:P10, P10) - 1</f>
        <v>1</v>
      </c>
      <c r="S10" s="117" t="str">
        <f t="shared" si="1"/>
        <v>MAURIAC</v>
      </c>
      <c r="T10" s="129">
        <f t="shared" si="2"/>
        <v>185</v>
      </c>
      <c r="U10" s="104">
        <f t="shared" si="3"/>
        <v>4</v>
      </c>
    </row>
    <row r="11" spans="1:21" ht="20.100000000000001" customHeight="1" x14ac:dyDescent="0.2">
      <c r="A11" s="80"/>
      <c r="B11" s="80"/>
      <c r="C11" s="92" t="str">
        <f t="shared" si="0"/>
        <v/>
      </c>
      <c r="D11" s="80"/>
      <c r="E11" s="80"/>
      <c r="J11" s="109" t="str">
        <f t="array" ref="J11">IFERROR(INDEX(A$5:A$100, MATCH(1, (D$5:D$100="M")*(E$5:E$100=L11)*(COUNTIF(J$10:J10,A$5:A$100)=0), 0)),"")</f>
        <v>JACQUEMOT</v>
      </c>
      <c r="K11" s="109" t="str">
        <f t="array" ref="K11">IFERROR(INDEX(B$5:B$100, MATCH(1, (D$5:D$100="M")*(E$5:E$100=L11)*(COUNTIF(L$10:L10,E$5:E$100)=0), 0)),"")</f>
        <v>Thierry</v>
      </c>
      <c r="L11" s="127">
        <f t="array" ref="L11">IFERROR(SMALL(IF(D$5:D$100="M",E$5:E$100), ROW(A1)),"")</f>
        <v>53</v>
      </c>
      <c r="M11" s="106">
        <v>1</v>
      </c>
      <c r="O11" s="119" t="str">
        <f>A49</f>
        <v>CHARADE</v>
      </c>
      <c r="P11" s="114">
        <f>SUM(G51:G53)</f>
        <v>190</v>
      </c>
      <c r="Q11" s="104">
        <f>RANK(P11, P$7:P$13, 1) + COUNTIF(P$7:P11, P11) - 1</f>
        <v>5</v>
      </c>
      <c r="S11" s="117" t="str">
        <f t="shared" si="1"/>
        <v>CHARADE</v>
      </c>
      <c r="T11" s="129">
        <f t="shared" si="2"/>
        <v>190</v>
      </c>
      <c r="U11" s="104">
        <f t="shared" si="3"/>
        <v>5</v>
      </c>
    </row>
    <row r="12" spans="1:21" ht="20.100000000000001" customHeight="1" x14ac:dyDescent="0.2">
      <c r="A12" s="80"/>
      <c r="B12" s="80"/>
      <c r="C12" s="92" t="str">
        <f t="shared" si="0"/>
        <v/>
      </c>
      <c r="D12" s="80"/>
      <c r="E12" s="80"/>
      <c r="J12" s="109" t="str">
        <f t="array" ref="J12">IFERROR(INDEX(A$5:A$100, MATCH(1, (D$5:D$100="M")*(E$5:E$100=L12)*(COUNTIF(J$10:J11,A$5:A$100)=0), 0)),"")</f>
        <v>BRUNEL</v>
      </c>
      <c r="K12" s="109" t="str">
        <f t="array" ref="K12">IFERROR(INDEX(B$5:B$100, MATCH(1, (D$5:D$100="M")*(E$5:E$100=L12)*(COUNTIF(K$10:K11,B$5:B$100)=0), 0)),"")</f>
        <v>Robert</v>
      </c>
      <c r="L12" s="127">
        <f t="array" ref="L12">IFERROR(SMALL(IF(D$5:D$100="M",E$5:E$100), ROW(A2)),"")</f>
        <v>57</v>
      </c>
      <c r="M12" s="106">
        <v>2</v>
      </c>
      <c r="O12" s="119" t="str">
        <f>A60</f>
        <v>MAURIAC</v>
      </c>
      <c r="P12" s="114">
        <f>SUM(G62:G64)</f>
        <v>185</v>
      </c>
      <c r="Q12" s="104">
        <f>RANK(P12, P$7:P$13, 1) + COUNTIF(P$7:P12, P12) - 1</f>
        <v>4</v>
      </c>
      <c r="S12" s="117" t="str">
        <f t="shared" si="1"/>
        <v>MONTPENSIER</v>
      </c>
      <c r="T12" s="129">
        <f t="shared" si="2"/>
        <v>204</v>
      </c>
      <c r="U12" s="104">
        <f t="shared" si="3"/>
        <v>6</v>
      </c>
    </row>
    <row r="13" spans="1:21" ht="20.100000000000001" customHeight="1" x14ac:dyDescent="0.2">
      <c r="A13" s="272" t="s">
        <v>130</v>
      </c>
      <c r="B13" s="273"/>
      <c r="C13" s="273"/>
      <c r="D13" s="273"/>
      <c r="J13" s="109" t="str">
        <f t="array" ref="J13">IFERROR(INDEX(A$5:A$100, MATCH(1, (D$5:D$100="M")*(E$5:E$100=L13)*(COUNTIF(J$10:J12,A$5:A$100)=0), 0)),"")</f>
        <v>HESEL</v>
      </c>
      <c r="K13" s="109" t="str">
        <f t="array" ref="K13">IFERROR(INDEX(B$6:B$100, MATCH(1, (D$6:D$100="M")*(E$6:E$100=L13)*(COUNTIF(K$10:K12,B$6:B$100)=0), 0)),"")</f>
        <v>Jean Marc</v>
      </c>
      <c r="L13" s="127">
        <f t="array" ref="L13">IFERROR(SMALL(IF(D$5:D$100="M",E$5:E$100), ROW(A3)),"")</f>
        <v>59</v>
      </c>
      <c r="M13" s="106">
        <v>3</v>
      </c>
      <c r="O13" s="123" t="str">
        <f>A70</f>
        <v>MONTPENSIER</v>
      </c>
      <c r="P13" s="124">
        <f>SUM(G72:G74)</f>
        <v>204</v>
      </c>
      <c r="Q13" s="104">
        <f>RANK(P13, P$7:P$13, 1) + COUNTIF(P$7:P13, P13) - 1</f>
        <v>6</v>
      </c>
      <c r="S13" s="117" t="str">
        <f t="shared" si="1"/>
        <v>GAZELEC MOULINS/VICHY</v>
      </c>
      <c r="T13" s="129">
        <f t="shared" si="2"/>
        <v>270</v>
      </c>
      <c r="U13" s="104">
        <f t="shared" si="3"/>
        <v>7</v>
      </c>
    </row>
    <row r="14" spans="1:21" ht="20.100000000000001" customHeight="1" thickBot="1" x14ac:dyDescent="0.25">
      <c r="A14" s="93" t="s">
        <v>180</v>
      </c>
      <c r="B14" s="94" t="s">
        <v>81</v>
      </c>
      <c r="C14" s="95" t="s">
        <v>186</v>
      </c>
      <c r="D14" s="95" t="s">
        <v>194</v>
      </c>
      <c r="E14" s="77" t="s">
        <v>181</v>
      </c>
      <c r="G14" s="100" t="s">
        <v>187</v>
      </c>
    </row>
    <row r="15" spans="1:21" ht="20.100000000000001" customHeight="1" x14ac:dyDescent="0.2">
      <c r="A15" s="135" t="s">
        <v>20</v>
      </c>
      <c r="B15" s="136" t="s">
        <v>250</v>
      </c>
      <c r="C15" s="92" t="str">
        <f t="shared" si="0"/>
        <v>Gérard CAMBET</v>
      </c>
      <c r="D15" s="105" t="s">
        <v>192</v>
      </c>
      <c r="E15" s="78">
        <v>63</v>
      </c>
      <c r="G15" s="101">
        <f>SMALL(Tableau4[BRUT],1)</f>
        <v>59</v>
      </c>
    </row>
    <row r="16" spans="1:21" ht="20.100000000000001" customHeight="1" x14ac:dyDescent="0.2">
      <c r="A16" s="81" t="s">
        <v>169</v>
      </c>
      <c r="B16" s="81" t="s">
        <v>39</v>
      </c>
      <c r="C16" s="92" t="str">
        <f t="shared" si="0"/>
        <v>SergeFONTANON</v>
      </c>
      <c r="D16" s="105" t="s">
        <v>192</v>
      </c>
      <c r="E16" s="78">
        <v>75</v>
      </c>
      <c r="G16" s="101">
        <f>SMALL(Tableau4[BRUT],2)</f>
        <v>62</v>
      </c>
      <c r="J16" s="266" t="s">
        <v>196</v>
      </c>
      <c r="K16" s="267"/>
      <c r="L16" s="102" t="s">
        <v>197</v>
      </c>
      <c r="M16" s="110" t="s">
        <v>198</v>
      </c>
    </row>
    <row r="17" spans="1:13" ht="20.100000000000001" customHeight="1" x14ac:dyDescent="0.2">
      <c r="A17" s="81" t="s">
        <v>92</v>
      </c>
      <c r="B17" s="81" t="s">
        <v>52</v>
      </c>
      <c r="C17" s="92" t="str">
        <f t="shared" si="0"/>
        <v>GillesFROMAGE</v>
      </c>
      <c r="D17" s="105" t="s">
        <v>192</v>
      </c>
      <c r="E17" s="78">
        <v>73</v>
      </c>
      <c r="G17" s="101">
        <f>SMALL(Tableau4[BRUT],3)</f>
        <v>63</v>
      </c>
      <c r="J17" s="107" t="s">
        <v>199</v>
      </c>
      <c r="K17" s="107" t="s">
        <v>60</v>
      </c>
      <c r="L17" s="111">
        <v>2.6</v>
      </c>
      <c r="M17" s="80"/>
    </row>
    <row r="18" spans="1:13" ht="20.100000000000001" customHeight="1" x14ac:dyDescent="0.2">
      <c r="A18" s="81" t="s">
        <v>17</v>
      </c>
      <c r="B18" s="81" t="s">
        <v>18</v>
      </c>
      <c r="C18" s="92" t="str">
        <f t="shared" si="0"/>
        <v>Jean MarcHESEL</v>
      </c>
      <c r="D18" s="105" t="s">
        <v>192</v>
      </c>
      <c r="E18" s="78">
        <v>59</v>
      </c>
      <c r="J18" s="112"/>
      <c r="K18" s="112"/>
      <c r="L18" s="112"/>
      <c r="M18" s="80"/>
    </row>
    <row r="19" spans="1:13" ht="20.100000000000001" customHeight="1" x14ac:dyDescent="0.2">
      <c r="A19" s="82" t="s">
        <v>170</v>
      </c>
      <c r="B19" s="81" t="s">
        <v>18</v>
      </c>
      <c r="C19" s="92" t="str">
        <f t="shared" si="0"/>
        <v>Jean MarcPAUTY</v>
      </c>
      <c r="D19" s="105" t="s">
        <v>192</v>
      </c>
      <c r="E19" s="78">
        <v>69</v>
      </c>
      <c r="J19" s="266" t="s">
        <v>200</v>
      </c>
      <c r="K19" s="267"/>
      <c r="L19" s="102" t="s">
        <v>197</v>
      </c>
      <c r="M19" s="113" t="s">
        <v>198</v>
      </c>
    </row>
    <row r="20" spans="1:13" ht="20.100000000000001" customHeight="1" x14ac:dyDescent="0.2">
      <c r="A20" s="81" t="s">
        <v>170</v>
      </c>
      <c r="B20" s="81" t="s">
        <v>171</v>
      </c>
      <c r="C20" s="92" t="str">
        <f t="shared" si="0"/>
        <v>VéroniquePAUTY</v>
      </c>
      <c r="D20" s="105" t="s">
        <v>193</v>
      </c>
      <c r="E20" s="78">
        <v>70</v>
      </c>
      <c r="J20" s="109" t="s">
        <v>173</v>
      </c>
      <c r="K20" s="109" t="s">
        <v>174</v>
      </c>
      <c r="L20" s="114">
        <v>1.98</v>
      </c>
      <c r="M20" s="115"/>
    </row>
    <row r="21" spans="1:13" ht="20.100000000000001" customHeight="1" x14ac:dyDescent="0.2">
      <c r="A21" s="81" t="s">
        <v>93</v>
      </c>
      <c r="B21" s="81" t="s">
        <v>47</v>
      </c>
      <c r="C21" s="92" t="str">
        <f t="shared" si="0"/>
        <v>PhilippeSIOC HAN</v>
      </c>
      <c r="D21" s="105" t="s">
        <v>192</v>
      </c>
      <c r="E21" s="78">
        <v>69</v>
      </c>
    </row>
    <row r="22" spans="1:13" ht="20.100000000000001" customHeight="1" x14ac:dyDescent="0.2">
      <c r="A22" s="81" t="s">
        <v>93</v>
      </c>
      <c r="B22" s="81" t="s">
        <v>58</v>
      </c>
      <c r="C22" s="92" t="str">
        <f t="shared" si="0"/>
        <v>AnnieSIOC HAN</v>
      </c>
      <c r="D22" s="105" t="s">
        <v>193</v>
      </c>
      <c r="E22" s="78">
        <v>80</v>
      </c>
    </row>
    <row r="23" spans="1:13" ht="20.100000000000001" customHeight="1" x14ac:dyDescent="0.2">
      <c r="A23" s="81" t="s">
        <v>86</v>
      </c>
      <c r="B23" s="81" t="s">
        <v>52</v>
      </c>
      <c r="C23" s="92" t="str">
        <f t="shared" si="0"/>
        <v>GillesVESCOVI</v>
      </c>
      <c r="D23" s="105" t="s">
        <v>192</v>
      </c>
      <c r="E23" s="78">
        <v>62</v>
      </c>
    </row>
    <row r="24" spans="1:13" ht="20.100000000000001" customHeight="1" x14ac:dyDescent="0.2">
      <c r="A24" s="81" t="s">
        <v>86</v>
      </c>
      <c r="B24" s="81" t="s">
        <v>95</v>
      </c>
      <c r="C24" s="92" t="str">
        <f t="shared" si="0"/>
        <v>RégineVESCOVI</v>
      </c>
      <c r="D24" s="105" t="s">
        <v>193</v>
      </c>
      <c r="E24" s="78">
        <v>74</v>
      </c>
    </row>
    <row r="25" spans="1:13" ht="20.100000000000001" customHeight="1" x14ac:dyDescent="0.2">
      <c r="A25" s="80"/>
      <c r="B25" s="80"/>
      <c r="C25" s="92" t="str">
        <f t="shared" si="0"/>
        <v/>
      </c>
      <c r="D25" s="80"/>
      <c r="E25" s="80"/>
    </row>
    <row r="26" spans="1:13" ht="20.100000000000001" customHeight="1" x14ac:dyDescent="0.2">
      <c r="A26" s="80"/>
      <c r="B26" s="80"/>
      <c r="C26" s="92" t="str">
        <f t="shared" si="0"/>
        <v/>
      </c>
      <c r="D26" s="80"/>
      <c r="E26" s="80"/>
    </row>
    <row r="27" spans="1:13" ht="20.100000000000001" customHeight="1" x14ac:dyDescent="0.2">
      <c r="A27" s="274" t="s">
        <v>184</v>
      </c>
      <c r="B27" s="275"/>
      <c r="C27" s="275"/>
      <c r="D27" s="275"/>
    </row>
    <row r="28" spans="1:13" ht="20.100000000000001" customHeight="1" thickBot="1" x14ac:dyDescent="0.25">
      <c r="A28" s="93" t="s">
        <v>180</v>
      </c>
      <c r="B28" s="94" t="s">
        <v>81</v>
      </c>
      <c r="C28" s="95" t="s">
        <v>186</v>
      </c>
      <c r="D28" s="95" t="s">
        <v>194</v>
      </c>
      <c r="E28" s="77" t="s">
        <v>181</v>
      </c>
      <c r="G28" s="100" t="s">
        <v>187</v>
      </c>
    </row>
    <row r="29" spans="1:13" ht="20.100000000000001" customHeight="1" x14ac:dyDescent="0.2">
      <c r="A29" s="83"/>
      <c r="B29" s="83"/>
      <c r="C29" s="92" t="str">
        <f t="shared" si="0"/>
        <v/>
      </c>
      <c r="D29" s="105"/>
      <c r="E29" s="84">
        <v>90</v>
      </c>
      <c r="G29" s="101">
        <f>SMALL(Tableau5[BRUT],1)</f>
        <v>90</v>
      </c>
    </row>
    <row r="30" spans="1:13" ht="20.100000000000001" customHeight="1" x14ac:dyDescent="0.2">
      <c r="A30" s="83"/>
      <c r="B30" s="83"/>
      <c r="C30" s="92" t="str">
        <f t="shared" si="0"/>
        <v/>
      </c>
      <c r="D30" s="105"/>
      <c r="E30" s="78">
        <v>90</v>
      </c>
      <c r="G30" s="101">
        <f>SMALL(Tableau5[BRUT],2)</f>
        <v>90</v>
      </c>
    </row>
    <row r="31" spans="1:13" ht="20.100000000000001" customHeight="1" x14ac:dyDescent="0.2">
      <c r="A31" s="85"/>
      <c r="B31" s="83"/>
      <c r="C31" s="92" t="str">
        <f t="shared" si="0"/>
        <v/>
      </c>
      <c r="D31" s="105"/>
      <c r="E31" s="78">
        <v>90</v>
      </c>
      <c r="G31" s="101">
        <f>SMALL(Tableau5[BRUT],3)</f>
        <v>90</v>
      </c>
    </row>
    <row r="32" spans="1:13" ht="20.100000000000001" customHeight="1" x14ac:dyDescent="0.2">
      <c r="A32" s="85"/>
      <c r="B32" s="83"/>
      <c r="C32" s="92" t="str">
        <f t="shared" si="0"/>
        <v/>
      </c>
      <c r="D32" s="105"/>
      <c r="E32" s="78">
        <v>90</v>
      </c>
    </row>
    <row r="33" spans="1:7" ht="20.100000000000001" customHeight="1" x14ac:dyDescent="0.2">
      <c r="A33" s="80"/>
      <c r="B33" s="80"/>
      <c r="C33" s="92" t="str">
        <f t="shared" si="0"/>
        <v/>
      </c>
      <c r="D33" s="80"/>
      <c r="E33" s="80"/>
    </row>
    <row r="34" spans="1:7" ht="20.100000000000001" customHeight="1" x14ac:dyDescent="0.2">
      <c r="A34" s="80"/>
      <c r="B34" s="80"/>
      <c r="C34" s="92" t="str">
        <f t="shared" si="0"/>
        <v/>
      </c>
      <c r="D34" s="80"/>
      <c r="E34" s="80"/>
    </row>
    <row r="35" spans="1:7" ht="20.100000000000001" customHeight="1" thickBot="1" x14ac:dyDescent="0.25">
      <c r="A35" s="276" t="s">
        <v>19</v>
      </c>
      <c r="B35" s="277"/>
      <c r="C35" s="277"/>
      <c r="D35" s="277"/>
    </row>
    <row r="36" spans="1:7" ht="20.100000000000001" customHeight="1" thickBot="1" x14ac:dyDescent="0.25">
      <c r="A36" s="93" t="s">
        <v>180</v>
      </c>
      <c r="B36" s="94" t="s">
        <v>81</v>
      </c>
      <c r="C36" s="95" t="s">
        <v>186</v>
      </c>
      <c r="D36" s="95" t="s">
        <v>194</v>
      </c>
      <c r="E36" s="77" t="s">
        <v>181</v>
      </c>
      <c r="G36" s="100" t="s">
        <v>187</v>
      </c>
    </row>
    <row r="37" spans="1:7" ht="20.100000000000001" customHeight="1" x14ac:dyDescent="0.2">
      <c r="A37" s="86" t="s">
        <v>139</v>
      </c>
      <c r="B37" s="86" t="s">
        <v>7</v>
      </c>
      <c r="C37" s="92" t="str">
        <f t="shared" si="0"/>
        <v>RobertBRUNEL</v>
      </c>
      <c r="D37" s="105" t="s">
        <v>192</v>
      </c>
      <c r="E37" s="78">
        <v>57</v>
      </c>
      <c r="G37" s="101">
        <f>SMALL(Tableau6[BRUT],1)</f>
        <v>57</v>
      </c>
    </row>
    <row r="38" spans="1:7" ht="20.100000000000001" customHeight="1" x14ac:dyDescent="0.2">
      <c r="A38" s="86" t="s">
        <v>96</v>
      </c>
      <c r="B38" s="86" t="s">
        <v>60</v>
      </c>
      <c r="C38" s="92" t="str">
        <f t="shared" si="0"/>
        <v>MichelleCIBERT GOTHON</v>
      </c>
      <c r="D38" s="105" t="s">
        <v>193</v>
      </c>
      <c r="E38" s="78">
        <v>71</v>
      </c>
      <c r="G38" s="101">
        <f>SMALL(Tableau6[BRUT],2)</f>
        <v>60</v>
      </c>
    </row>
    <row r="39" spans="1:7" ht="20.100000000000001" customHeight="1" x14ac:dyDescent="0.2">
      <c r="A39" s="86" t="s">
        <v>69</v>
      </c>
      <c r="B39" s="86" t="s">
        <v>47</v>
      </c>
      <c r="C39" s="92" t="str">
        <f t="shared" si="0"/>
        <v>PhilippeCUVIER</v>
      </c>
      <c r="D39" s="105" t="s">
        <v>192</v>
      </c>
      <c r="E39" s="78">
        <v>75</v>
      </c>
      <c r="G39" s="101">
        <f>SMALL(Tableau6[BRUT],3)</f>
        <v>62</v>
      </c>
    </row>
    <row r="40" spans="1:7" ht="20.100000000000001" customHeight="1" x14ac:dyDescent="0.2">
      <c r="A40" s="200" t="s">
        <v>75</v>
      </c>
      <c r="B40" s="201" t="s">
        <v>257</v>
      </c>
      <c r="C40" s="92" t="str">
        <f t="shared" si="0"/>
        <v>Jean-MichelFAURIE</v>
      </c>
      <c r="D40" s="105" t="s">
        <v>192</v>
      </c>
      <c r="E40" s="78">
        <v>69</v>
      </c>
    </row>
    <row r="41" spans="1:7" ht="20.100000000000001" customHeight="1" x14ac:dyDescent="0.2">
      <c r="A41" s="86" t="s">
        <v>34</v>
      </c>
      <c r="B41" s="86" t="s">
        <v>31</v>
      </c>
      <c r="C41" s="92" t="str">
        <f t="shared" si="0"/>
        <v>DanielMARTIN</v>
      </c>
      <c r="D41" s="105" t="s">
        <v>192</v>
      </c>
      <c r="E41" s="78">
        <v>63</v>
      </c>
    </row>
    <row r="42" spans="1:7" ht="20.100000000000001" customHeight="1" x14ac:dyDescent="0.2">
      <c r="A42" s="86" t="s">
        <v>76</v>
      </c>
      <c r="B42" s="86" t="s">
        <v>31</v>
      </c>
      <c r="C42" s="92" t="str">
        <f t="shared" si="0"/>
        <v>DanielPIERROT</v>
      </c>
      <c r="D42" s="105" t="s">
        <v>192</v>
      </c>
      <c r="E42" s="78">
        <v>69</v>
      </c>
    </row>
    <row r="43" spans="1:7" ht="20.100000000000001" customHeight="1" x14ac:dyDescent="0.2">
      <c r="A43" s="86" t="s">
        <v>30</v>
      </c>
      <c r="B43" s="86" t="s">
        <v>31</v>
      </c>
      <c r="C43" s="92" t="str">
        <f t="shared" si="0"/>
        <v>DanielVEDEL</v>
      </c>
      <c r="D43" s="105" t="s">
        <v>192</v>
      </c>
      <c r="E43" s="78">
        <v>62</v>
      </c>
    </row>
    <row r="44" spans="1:7" ht="20.100000000000001" customHeight="1" x14ac:dyDescent="0.2">
      <c r="A44" s="86" t="s">
        <v>172</v>
      </c>
      <c r="B44" s="86" t="s">
        <v>47</v>
      </c>
      <c r="C44" s="92" t="str">
        <f t="shared" si="0"/>
        <v>PhilippeVIVIER</v>
      </c>
      <c r="D44" s="105" t="s">
        <v>192</v>
      </c>
      <c r="E44" s="78">
        <v>60</v>
      </c>
    </row>
    <row r="45" spans="1:7" ht="20.100000000000001" customHeight="1" x14ac:dyDescent="0.2">
      <c r="A45" s="86" t="s">
        <v>159</v>
      </c>
      <c r="B45" s="86" t="s">
        <v>160</v>
      </c>
      <c r="C45" s="92" t="str">
        <f t="shared" si="0"/>
        <v>MaëlGEBRILLAT</v>
      </c>
      <c r="D45" s="105" t="s">
        <v>192</v>
      </c>
      <c r="E45" s="78">
        <v>74</v>
      </c>
    </row>
    <row r="46" spans="1:7" ht="20.100000000000001" customHeight="1" x14ac:dyDescent="0.2">
      <c r="A46" s="86" t="s">
        <v>70</v>
      </c>
      <c r="B46" s="86" t="s">
        <v>71</v>
      </c>
      <c r="C46" s="92" t="str">
        <f t="shared" si="0"/>
        <v>ClaudeMERCIER</v>
      </c>
      <c r="D46" s="105" t="s">
        <v>192</v>
      </c>
      <c r="E46" s="78">
        <v>63</v>
      </c>
    </row>
    <row r="47" spans="1:7" ht="20.100000000000001" customHeight="1" x14ac:dyDescent="0.2">
      <c r="A47" s="80"/>
      <c r="B47" s="80"/>
      <c r="C47" s="92" t="str">
        <f t="shared" si="0"/>
        <v/>
      </c>
      <c r="D47" s="80"/>
      <c r="E47" s="80"/>
    </row>
    <row r="48" spans="1:7" ht="20.100000000000001" customHeight="1" x14ac:dyDescent="0.2">
      <c r="A48" s="80"/>
      <c r="B48" s="80"/>
      <c r="C48" s="92" t="str">
        <f t="shared" si="0"/>
        <v/>
      </c>
      <c r="D48" s="80"/>
      <c r="E48" s="80"/>
    </row>
    <row r="49" spans="1:7" ht="20.100000000000001" customHeight="1" thickBot="1" x14ac:dyDescent="0.25">
      <c r="A49" s="278" t="s">
        <v>8</v>
      </c>
      <c r="B49" s="279"/>
      <c r="C49" s="279"/>
      <c r="D49" s="279"/>
    </row>
    <row r="50" spans="1:7" ht="20.100000000000001" customHeight="1" thickBot="1" x14ac:dyDescent="0.25">
      <c r="A50" s="93" t="s">
        <v>180</v>
      </c>
      <c r="B50" s="94" t="s">
        <v>81</v>
      </c>
      <c r="C50" s="95" t="s">
        <v>186</v>
      </c>
      <c r="D50" s="95" t="s">
        <v>194</v>
      </c>
      <c r="E50" s="77" t="s">
        <v>181</v>
      </c>
      <c r="G50" s="100" t="s">
        <v>187</v>
      </c>
    </row>
    <row r="51" spans="1:7" ht="20.100000000000001" customHeight="1" x14ac:dyDescent="0.2">
      <c r="A51" s="87" t="s">
        <v>6</v>
      </c>
      <c r="B51" s="87" t="s">
        <v>7</v>
      </c>
      <c r="C51" s="92" t="str">
        <f t="shared" si="0"/>
        <v>RobertBOURGIER</v>
      </c>
      <c r="D51" s="105" t="s">
        <v>192</v>
      </c>
      <c r="E51" s="78">
        <v>66</v>
      </c>
      <c r="G51" s="101">
        <f>SMALL(Tableau7[BRUT],1)</f>
        <v>62</v>
      </c>
    </row>
    <row r="52" spans="1:7" ht="20.100000000000001" customHeight="1" x14ac:dyDescent="0.2">
      <c r="A52" s="87" t="s">
        <v>109</v>
      </c>
      <c r="B52" s="87" t="s">
        <v>52</v>
      </c>
      <c r="C52" s="92" t="str">
        <f t="shared" si="0"/>
        <v>GillesJOSSIER</v>
      </c>
      <c r="D52" s="105" t="s">
        <v>192</v>
      </c>
      <c r="E52" s="78">
        <v>68</v>
      </c>
      <c r="G52" s="101">
        <f>SMALL(Tableau7[BRUT],2)</f>
        <v>63</v>
      </c>
    </row>
    <row r="53" spans="1:7" ht="20.100000000000001" customHeight="1" x14ac:dyDescent="0.2">
      <c r="A53" s="87" t="s">
        <v>15</v>
      </c>
      <c r="B53" s="87" t="s">
        <v>16</v>
      </c>
      <c r="C53" s="92" t="str">
        <f t="shared" si="0"/>
        <v>JeanLOUBAT</v>
      </c>
      <c r="D53" s="105" t="s">
        <v>192</v>
      </c>
      <c r="E53" s="78">
        <v>62</v>
      </c>
      <c r="G53" s="101">
        <f>SMALL(Tableau7[BRUT],3)</f>
        <v>65</v>
      </c>
    </row>
    <row r="54" spans="1:7" ht="20.100000000000001" customHeight="1" x14ac:dyDescent="0.2">
      <c r="A54" s="87" t="s">
        <v>84</v>
      </c>
      <c r="B54" s="87" t="s">
        <v>78</v>
      </c>
      <c r="C54" s="92" t="str">
        <f t="shared" si="0"/>
        <v>ElisabethMEYNIAL</v>
      </c>
      <c r="D54" s="105" t="s">
        <v>193</v>
      </c>
      <c r="E54" s="78">
        <v>70</v>
      </c>
    </row>
    <row r="55" spans="1:7" ht="20.100000000000001" customHeight="1" x14ac:dyDescent="0.2">
      <c r="A55" s="87" t="s">
        <v>38</v>
      </c>
      <c r="B55" s="87" t="s">
        <v>57</v>
      </c>
      <c r="C55" s="92" t="str">
        <f t="shared" si="0"/>
        <v>HuguettePERRIER</v>
      </c>
      <c r="D55" s="105" t="s">
        <v>193</v>
      </c>
      <c r="E55" s="78">
        <v>65</v>
      </c>
    </row>
    <row r="56" spans="1:7" ht="20.100000000000001" customHeight="1" x14ac:dyDescent="0.2">
      <c r="A56" s="87" t="s">
        <v>38</v>
      </c>
      <c r="B56" s="87" t="s">
        <v>39</v>
      </c>
      <c r="C56" s="92" t="str">
        <f t="shared" si="0"/>
        <v>SergePERRIER</v>
      </c>
      <c r="D56" s="105" t="s">
        <v>192</v>
      </c>
      <c r="E56" s="78">
        <v>63</v>
      </c>
    </row>
    <row r="57" spans="1:7" ht="20.100000000000001" customHeight="1" x14ac:dyDescent="0.2">
      <c r="A57" s="88" t="s">
        <v>133</v>
      </c>
      <c r="B57" s="87" t="s">
        <v>39</v>
      </c>
      <c r="C57" s="92" t="str">
        <f t="shared" si="0"/>
        <v>SergeROBERT</v>
      </c>
      <c r="D57" s="105" t="s">
        <v>192</v>
      </c>
      <c r="E57" s="78">
        <v>68</v>
      </c>
    </row>
    <row r="58" spans="1:7" ht="20.100000000000001" customHeight="1" x14ac:dyDescent="0.2">
      <c r="A58" s="80"/>
      <c r="B58" s="80"/>
      <c r="C58" s="92" t="str">
        <f t="shared" si="0"/>
        <v/>
      </c>
      <c r="D58" s="80"/>
      <c r="E58" s="89"/>
    </row>
    <row r="59" spans="1:7" ht="20.100000000000001" customHeight="1" x14ac:dyDescent="0.2">
      <c r="A59" s="80"/>
      <c r="B59" s="80"/>
      <c r="C59" s="92" t="str">
        <f t="shared" si="0"/>
        <v/>
      </c>
      <c r="D59" s="80"/>
      <c r="E59" s="80"/>
    </row>
    <row r="60" spans="1:7" ht="20.100000000000001" customHeight="1" thickBot="1" x14ac:dyDescent="0.25">
      <c r="A60" s="280" t="s">
        <v>74</v>
      </c>
      <c r="B60" s="281"/>
      <c r="C60" s="281"/>
      <c r="D60" s="281"/>
    </row>
    <row r="61" spans="1:7" ht="20.100000000000001" customHeight="1" thickBot="1" x14ac:dyDescent="0.25">
      <c r="A61" s="99" t="s">
        <v>180</v>
      </c>
      <c r="B61" s="94" t="s">
        <v>81</v>
      </c>
      <c r="C61" s="95" t="s">
        <v>186</v>
      </c>
      <c r="D61" s="95" t="s">
        <v>194</v>
      </c>
      <c r="E61" s="77" t="s">
        <v>181</v>
      </c>
      <c r="G61" s="100" t="s">
        <v>187</v>
      </c>
    </row>
    <row r="62" spans="1:7" ht="20.100000000000001" customHeight="1" x14ac:dyDescent="0.2">
      <c r="A62" s="96" t="s">
        <v>117</v>
      </c>
      <c r="B62" s="96" t="s">
        <v>83</v>
      </c>
      <c r="C62" s="92" t="str">
        <f t="shared" si="0"/>
        <v>DidierBENAZECH</v>
      </c>
      <c r="D62" s="105" t="s">
        <v>192</v>
      </c>
      <c r="E62" s="97">
        <v>63</v>
      </c>
      <c r="G62" s="101">
        <f>SMALL(Tableau8[BRUT],1)</f>
        <v>53</v>
      </c>
    </row>
    <row r="63" spans="1:7" ht="20.100000000000001" customHeight="1" x14ac:dyDescent="0.2">
      <c r="A63" s="96" t="s">
        <v>147</v>
      </c>
      <c r="B63" s="96" t="s">
        <v>149</v>
      </c>
      <c r="C63" s="92" t="str">
        <f t="shared" si="0"/>
        <v>JacquelineCARRER</v>
      </c>
      <c r="D63" s="105" t="s">
        <v>193</v>
      </c>
      <c r="E63" s="98">
        <v>72</v>
      </c>
      <c r="G63" s="101">
        <f>SMALL(Tableau8[BRUT],2)</f>
        <v>63</v>
      </c>
    </row>
    <row r="64" spans="1:7" ht="20.100000000000001" customHeight="1" x14ac:dyDescent="0.2">
      <c r="A64" s="96" t="s">
        <v>147</v>
      </c>
      <c r="B64" s="96" t="s">
        <v>47</v>
      </c>
      <c r="C64" s="92" t="str">
        <f t="shared" si="0"/>
        <v>PhilippeCARRER</v>
      </c>
      <c r="D64" s="105" t="s">
        <v>192</v>
      </c>
      <c r="E64" s="98">
        <v>72</v>
      </c>
      <c r="G64" s="101">
        <f>SMALL(Tableau8[BRUT],3)</f>
        <v>69</v>
      </c>
    </row>
    <row r="65" spans="1:7" ht="20.100000000000001" customHeight="1" x14ac:dyDescent="0.2">
      <c r="A65" s="96" t="s">
        <v>173</v>
      </c>
      <c r="B65" s="96" t="s">
        <v>174</v>
      </c>
      <c r="C65" s="92" t="str">
        <f t="shared" si="0"/>
        <v>ThierryJACQUEMOT</v>
      </c>
      <c r="D65" s="105" t="s">
        <v>192</v>
      </c>
      <c r="E65" s="98">
        <v>53</v>
      </c>
    </row>
    <row r="66" spans="1:7" ht="20.100000000000001" customHeight="1" x14ac:dyDescent="0.2">
      <c r="A66" s="96" t="s">
        <v>29</v>
      </c>
      <c r="B66" s="96" t="s">
        <v>14</v>
      </c>
      <c r="C66" s="92" t="str">
        <f t="shared" si="0"/>
        <v>MichelLABAUNE</v>
      </c>
      <c r="D66" s="105" t="s">
        <v>192</v>
      </c>
      <c r="E66" s="98">
        <v>69</v>
      </c>
    </row>
    <row r="67" spans="1:7" ht="20.100000000000001" customHeight="1" x14ac:dyDescent="0.2">
      <c r="A67" s="96" t="s">
        <v>73</v>
      </c>
      <c r="B67" s="96" t="s">
        <v>66</v>
      </c>
      <c r="C67" s="92" t="str">
        <f t="shared" si="0"/>
        <v>MartineVACHOT</v>
      </c>
      <c r="D67" s="105" t="s">
        <v>193</v>
      </c>
      <c r="E67" s="98">
        <v>78</v>
      </c>
    </row>
    <row r="68" spans="1:7" ht="19.350000000000001" customHeight="1" x14ac:dyDescent="0.2">
      <c r="A68" s="80"/>
      <c r="B68" s="80"/>
      <c r="C68" s="92" t="str">
        <f t="shared" ref="C68" si="4">TRIM(CONCATENATE(B68,A68))</f>
        <v/>
      </c>
      <c r="D68" s="80"/>
      <c r="E68" s="80"/>
    </row>
    <row r="69" spans="1:7" ht="19.350000000000001" customHeight="1" x14ac:dyDescent="0.2">
      <c r="A69" s="80"/>
      <c r="B69" s="80"/>
      <c r="C69" s="92" t="str">
        <f t="shared" si="0"/>
        <v/>
      </c>
      <c r="D69" s="80"/>
      <c r="E69" s="80"/>
    </row>
    <row r="70" spans="1:7" ht="20.100000000000001" customHeight="1" thickBot="1" x14ac:dyDescent="0.25">
      <c r="A70" s="268" t="s">
        <v>26</v>
      </c>
      <c r="B70" s="269"/>
      <c r="C70" s="269"/>
      <c r="D70" s="269"/>
    </row>
    <row r="71" spans="1:7" ht="20.100000000000001" customHeight="1" thickBot="1" x14ac:dyDescent="0.25">
      <c r="A71" s="93" t="s">
        <v>180</v>
      </c>
      <c r="B71" s="94" t="s">
        <v>81</v>
      </c>
      <c r="C71" s="95" t="s">
        <v>186</v>
      </c>
      <c r="D71" s="95" t="s">
        <v>194</v>
      </c>
      <c r="E71" s="77" t="s">
        <v>181</v>
      </c>
      <c r="G71" s="100" t="s">
        <v>187</v>
      </c>
    </row>
    <row r="72" spans="1:7" ht="20.100000000000001" customHeight="1" x14ac:dyDescent="0.2">
      <c r="A72" s="90" t="s">
        <v>143</v>
      </c>
      <c r="B72" s="90" t="s">
        <v>144</v>
      </c>
      <c r="C72" s="92" t="str">
        <f t="shared" si="0"/>
        <v>ChristianeBOURNAT</v>
      </c>
      <c r="D72" s="105" t="s">
        <v>193</v>
      </c>
      <c r="E72" s="84">
        <v>79</v>
      </c>
      <c r="G72" s="101">
        <f>SMALL(Tableau9[BRUT],1)</f>
        <v>64</v>
      </c>
    </row>
    <row r="73" spans="1:7" ht="20.100000000000001" customHeight="1" x14ac:dyDescent="0.2">
      <c r="A73" s="90" t="s">
        <v>175</v>
      </c>
      <c r="B73" s="90" t="s">
        <v>176</v>
      </c>
      <c r="C73" s="92" t="str">
        <f t="shared" si="0"/>
        <v>AgnèsFLECHE</v>
      </c>
      <c r="D73" s="105" t="s">
        <v>193</v>
      </c>
      <c r="E73" s="78">
        <v>73</v>
      </c>
      <c r="G73" s="101">
        <f>SMALL(Tableau9[BRUT],2)</f>
        <v>69</v>
      </c>
    </row>
    <row r="74" spans="1:7" ht="20.100000000000001" customHeight="1" x14ac:dyDescent="0.2">
      <c r="A74" s="90" t="s">
        <v>122</v>
      </c>
      <c r="B74" s="90" t="s">
        <v>66</v>
      </c>
      <c r="C74" s="92" t="str">
        <f t="shared" si="0"/>
        <v>MartineMOUTH</v>
      </c>
      <c r="D74" s="105" t="s">
        <v>193</v>
      </c>
      <c r="E74" s="78">
        <v>69</v>
      </c>
      <c r="G74" s="101">
        <f>SMALL(Tableau9[BRUT],3)</f>
        <v>71</v>
      </c>
    </row>
    <row r="75" spans="1:7" ht="20.100000000000001" customHeight="1" x14ac:dyDescent="0.2">
      <c r="A75" s="90" t="s">
        <v>116</v>
      </c>
      <c r="B75" s="90" t="s">
        <v>59</v>
      </c>
      <c r="C75" s="92" t="str">
        <f t="shared" si="0"/>
        <v>SylvieRUSZNIEWSKI</v>
      </c>
      <c r="D75" s="105" t="s">
        <v>193</v>
      </c>
      <c r="E75" s="78">
        <v>77</v>
      </c>
    </row>
    <row r="76" spans="1:7" ht="20.100000000000001" customHeight="1" x14ac:dyDescent="0.2">
      <c r="A76" s="91" t="s">
        <v>177</v>
      </c>
      <c r="B76" s="90" t="s">
        <v>178</v>
      </c>
      <c r="C76" s="92" t="str">
        <f t="shared" ref="C76:C77" si="5">TRIM(CONCATENATE(B76,A76))</f>
        <v>BénédicteTAILLADE</v>
      </c>
      <c r="D76" s="105" t="s">
        <v>193</v>
      </c>
      <c r="E76" s="78">
        <v>71</v>
      </c>
    </row>
    <row r="77" spans="1:7" ht="20.100000000000001" customHeight="1" x14ac:dyDescent="0.2">
      <c r="A77" s="90" t="s">
        <v>185</v>
      </c>
      <c r="B77" s="90" t="s">
        <v>115</v>
      </c>
      <c r="C77" s="92" t="str">
        <f t="shared" si="5"/>
        <v>OdileVIDAL</v>
      </c>
      <c r="D77" s="105" t="s">
        <v>193</v>
      </c>
      <c r="E77" s="78">
        <v>64</v>
      </c>
    </row>
  </sheetData>
  <mergeCells count="12">
    <mergeCell ref="A1:I1"/>
    <mergeCell ref="J10:K10"/>
    <mergeCell ref="J16:K16"/>
    <mergeCell ref="J19:K19"/>
    <mergeCell ref="A70:D70"/>
    <mergeCell ref="J5:K5"/>
    <mergeCell ref="A3:D3"/>
    <mergeCell ref="A13:D13"/>
    <mergeCell ref="A27:D27"/>
    <mergeCell ref="A35:D35"/>
    <mergeCell ref="A49:D49"/>
    <mergeCell ref="A60:D60"/>
  </mergeCells>
  <dataValidations count="2">
    <dataValidation type="list" allowBlank="1" showInputMessage="1" showErrorMessage="1" sqref="J17" xr:uid="{00000000-0002-0000-0200-000000000000}">
      <formula1>NOMBIS</formula1>
    </dataValidation>
    <dataValidation type="list" allowBlank="1" showInputMessage="1" showErrorMessage="1" sqref="A37:A39 A41:A46 B40" xr:uid="{00000000-0002-0000-0200-000001000000}">
      <formula1>NOM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89"/>
  <sheetViews>
    <sheetView topLeftCell="A43" workbookViewId="0">
      <selection activeCell="A52" sqref="A52:B52"/>
    </sheetView>
  </sheetViews>
  <sheetFormatPr baseColWidth="10" defaultRowHeight="12.75" x14ac:dyDescent="0.2"/>
  <cols>
    <col min="1" max="1" width="30.140625" bestFit="1" customWidth="1"/>
    <col min="2" max="2" width="19.140625" customWidth="1"/>
    <col min="3" max="3" width="21.7109375" customWidth="1"/>
    <col min="4" max="4" width="4.7109375" customWidth="1"/>
    <col min="5" max="5" width="8.42578125" customWidth="1"/>
    <col min="6" max="6" width="8.7109375" customWidth="1"/>
    <col min="7" max="7" width="14.28515625" bestFit="1" customWidth="1"/>
    <col min="8" max="8" width="3" customWidth="1"/>
    <col min="9" max="9" width="3.7109375" customWidth="1"/>
    <col min="10" max="10" width="21.140625" customWidth="1"/>
    <col min="11" max="11" width="18" customWidth="1"/>
    <col min="12" max="12" width="15.28515625" customWidth="1"/>
    <col min="13" max="13" width="13" bestFit="1" customWidth="1"/>
    <col min="14" max="14" width="11" customWidth="1"/>
    <col min="15" max="15" width="12.85546875" hidden="1" customWidth="1"/>
    <col min="16" max="16" width="8.140625" hidden="1" customWidth="1"/>
    <col min="17" max="17" width="6.85546875" hidden="1" customWidth="1"/>
    <col min="18" max="18" width="13.28515625" customWidth="1"/>
    <col min="19" max="19" width="30.42578125" bestFit="1" customWidth="1"/>
    <col min="20" max="20" width="9.42578125" bestFit="1" customWidth="1"/>
    <col min="21" max="21" width="13" bestFit="1" customWidth="1"/>
  </cols>
  <sheetData>
    <row r="1" spans="1:24" ht="67.7" customHeight="1" thickBot="1" x14ac:dyDescent="0.25">
      <c r="A1" s="261" t="s">
        <v>204</v>
      </c>
      <c r="B1" s="262"/>
      <c r="C1" s="262"/>
      <c r="D1" s="262"/>
      <c r="E1" s="262"/>
      <c r="F1" s="262"/>
      <c r="G1" s="262"/>
      <c r="H1" s="262"/>
      <c r="I1" s="263"/>
    </row>
    <row r="3" spans="1:24" ht="20.25" thickBot="1" x14ac:dyDescent="0.25">
      <c r="A3" s="270" t="s">
        <v>13</v>
      </c>
      <c r="B3" s="271"/>
      <c r="C3" s="271"/>
      <c r="D3" s="271"/>
    </row>
    <row r="4" spans="1:24" ht="20.100000000000001" customHeight="1" thickBot="1" x14ac:dyDescent="0.25">
      <c r="A4" s="93" t="s">
        <v>180</v>
      </c>
      <c r="B4" s="94" t="s">
        <v>81</v>
      </c>
      <c r="C4" s="95" t="s">
        <v>186</v>
      </c>
      <c r="D4" s="95" t="s">
        <v>194</v>
      </c>
      <c r="E4" s="77" t="s">
        <v>181</v>
      </c>
      <c r="G4" s="100" t="s">
        <v>187</v>
      </c>
    </row>
    <row r="5" spans="1:24" ht="20.100000000000001" customHeight="1" x14ac:dyDescent="0.2">
      <c r="A5" s="132" t="s">
        <v>146</v>
      </c>
      <c r="B5" s="133" t="s">
        <v>106</v>
      </c>
      <c r="C5" s="92" t="str">
        <f>TRIM(CONCATENATE(B5,A5))</f>
        <v>Jean ClaudeCLUZEL</v>
      </c>
      <c r="D5" s="105" t="s">
        <v>192</v>
      </c>
      <c r="E5" s="77">
        <v>68</v>
      </c>
      <c r="G5" s="101">
        <f>SMALL(Tableau313[BRUT],1)</f>
        <v>62</v>
      </c>
      <c r="J5" s="264" t="s">
        <v>189</v>
      </c>
      <c r="K5" s="265"/>
      <c r="L5" s="125" t="s">
        <v>190</v>
      </c>
      <c r="M5" s="103" t="s">
        <v>191</v>
      </c>
    </row>
    <row r="6" spans="1:24" ht="20.100000000000001" customHeight="1" x14ac:dyDescent="0.2">
      <c r="A6" s="132" t="s">
        <v>11</v>
      </c>
      <c r="B6" s="133" t="s">
        <v>12</v>
      </c>
      <c r="C6" s="92" t="str">
        <f t="shared" ref="C6:C15" si="0">TRIM(CONCATENATE(B6,A6))</f>
        <v>AlainJEANDREAU</v>
      </c>
      <c r="D6" s="105" t="s">
        <v>192</v>
      </c>
      <c r="E6" s="77">
        <v>66</v>
      </c>
      <c r="G6" s="101">
        <f>SMALL(Tableau313[BRUT],2)</f>
        <v>64</v>
      </c>
      <c r="J6" s="107" t="str">
        <f t="array" ref="J6">IFERROR(INDEX(A$5:A$111, MATCH(1, (D$5:D$111="F")*(E$5:E$111=L6)*(COUNTIF(J$5:J5,A$5:A$111)=0), 0)),"")</f>
        <v>TAILLADE</v>
      </c>
      <c r="K6" s="107" t="str">
        <f t="array" ref="K6">IFERROR(INDEX(B$5:B$111, MATCH(1, (D$5:D$111="F")*(E$5:E$111=L6)*(COUNTIF(L$5:L5,E$5:E$111)=0), 0)),"")</f>
        <v>Bénédicte</v>
      </c>
      <c r="L6" s="126">
        <f t="array" ref="L6">IFERROR(SMALL(IF(D$6:D$111="F",E$6:E$111), ROW(A1)),"")</f>
        <v>75</v>
      </c>
      <c r="M6" s="104">
        <v>1</v>
      </c>
      <c r="O6" s="120" t="s">
        <v>201</v>
      </c>
      <c r="P6" s="121" t="s">
        <v>202</v>
      </c>
      <c r="Q6" s="122" t="s">
        <v>191</v>
      </c>
      <c r="S6" s="116" t="s">
        <v>201</v>
      </c>
      <c r="T6" s="128" t="s">
        <v>202</v>
      </c>
      <c r="U6" s="118" t="s">
        <v>191</v>
      </c>
    </row>
    <row r="7" spans="1:24" ht="20.100000000000001" customHeight="1" x14ac:dyDescent="0.2">
      <c r="A7" s="132" t="s">
        <v>35</v>
      </c>
      <c r="B7" s="133" t="s">
        <v>63</v>
      </c>
      <c r="C7" s="92" t="str">
        <f t="shared" si="0"/>
        <v>FrancoisKUCHCIK</v>
      </c>
      <c r="D7" s="105" t="s">
        <v>192</v>
      </c>
      <c r="E7" s="77">
        <v>70</v>
      </c>
      <c r="G7" s="101">
        <f>SMALL(Tableau313[BRUT],3)</f>
        <v>66</v>
      </c>
      <c r="J7" s="108" t="str">
        <f t="array" ref="J7">IFERROR(INDEX(A$6:A$111, MATCH(1, (D$6:D$111="F")*(E$6:E$111=L7)*(COUNTIF(J$5:J6,A$6:A$111)=0), 0)),"")</f>
        <v>VACHOT</v>
      </c>
      <c r="K7" s="108" t="str">
        <f t="array" ref="K7">IFERROR(INDEX(B$6:B$111, MATCH(1, (D$6:D$111="F")*(E$6:E$111=L7)*(COUNTIF(K$5:K6,B$6:B$111)=0), 0)),"")</f>
        <v>Martine</v>
      </c>
      <c r="L7" s="126">
        <f t="array" ref="L7">IFERROR(SMALL(IF((D$5:D$111="F")*(COUNTIF(L$5:L5,E$5:E$111)=0), E$5:E$111), ROW(A2)),"")</f>
        <v>76</v>
      </c>
      <c r="M7" s="104">
        <v>2</v>
      </c>
      <c r="O7" s="119" t="str">
        <f>A3</f>
        <v>RIOM</v>
      </c>
      <c r="P7" s="114">
        <f>SUM(G5:G7)</f>
        <v>192</v>
      </c>
      <c r="Q7" s="104">
        <f>RANK(P7, P$7:P$13, 1) + COUNTIF(P$7:P7, P7) - 1</f>
        <v>2</v>
      </c>
      <c r="S7" s="117" t="str">
        <f>INDEX(O$7:O$13, MATCH(ROW(A1), Q$7:Q$13, 0))</f>
        <v>VAL D'AUZON</v>
      </c>
      <c r="T7" s="129">
        <f>INDEX(P$7:P$13, MATCH(ROW(A1), Q$7:Q$13, 0))</f>
        <v>189</v>
      </c>
      <c r="U7" s="104">
        <f>ROW(A1)</f>
        <v>1</v>
      </c>
      <c r="V7">
        <v>179</v>
      </c>
      <c r="W7">
        <f>T7+V7</f>
        <v>368</v>
      </c>
      <c r="X7">
        <v>1</v>
      </c>
    </row>
    <row r="8" spans="1:24" ht="20.100000000000001" customHeight="1" x14ac:dyDescent="0.2">
      <c r="A8" s="132" t="s">
        <v>35</v>
      </c>
      <c r="B8" s="132" t="s">
        <v>237</v>
      </c>
      <c r="C8" s="92" t="str">
        <f t="shared" si="0"/>
        <v>JoelleKUCHCIK</v>
      </c>
      <c r="D8" s="105" t="s">
        <v>192</v>
      </c>
      <c r="E8" s="77">
        <v>84</v>
      </c>
      <c r="J8" s="147" t="s">
        <v>222</v>
      </c>
      <c r="K8" s="147" t="s">
        <v>223</v>
      </c>
      <c r="L8" s="126">
        <v>77</v>
      </c>
      <c r="M8" s="104">
        <v>3</v>
      </c>
      <c r="O8" s="119" t="str">
        <f>A16</f>
        <v>GAZELEC CLERMONT</v>
      </c>
      <c r="P8" s="114">
        <f>SUM(G17:G19)</f>
        <v>203</v>
      </c>
      <c r="Q8" s="104">
        <f>RANK(P8, P$7:P$13, 1) + COUNTIF(P$7:P8, P8) - 1</f>
        <v>4</v>
      </c>
      <c r="S8" s="117" t="str">
        <f t="shared" ref="S8:S13" si="1">INDEX(O$7:O$13, MATCH(ROW(A2), Q$7:Q$13, 0))</f>
        <v>RIOM</v>
      </c>
      <c r="T8" s="129">
        <f t="shared" ref="T8:T13" si="2">INDEX(P$7:P$13, MATCH(ROW(A2), Q$7:Q$13, 0))</f>
        <v>192</v>
      </c>
      <c r="U8" s="104">
        <f t="shared" ref="U8:U13" si="3">ROW(A2)</f>
        <v>2</v>
      </c>
      <c r="V8">
        <v>185</v>
      </c>
      <c r="W8">
        <f t="shared" ref="W8:W13" si="4">T8+V8</f>
        <v>377</v>
      </c>
      <c r="X8">
        <v>2</v>
      </c>
    </row>
    <row r="9" spans="1:24" ht="20.100000000000001" customHeight="1" x14ac:dyDescent="0.2">
      <c r="A9" s="132" t="s">
        <v>211</v>
      </c>
      <c r="B9" s="133" t="s">
        <v>106</v>
      </c>
      <c r="C9" s="92" t="str">
        <f t="shared" si="0"/>
        <v>Jean ClaudeLAPERNA</v>
      </c>
      <c r="D9" s="105" t="s">
        <v>192</v>
      </c>
      <c r="E9" s="77">
        <v>68</v>
      </c>
      <c r="L9">
        <v>77</v>
      </c>
      <c r="O9" s="119" t="str">
        <f>A34</f>
        <v>GAZELEC MOULINS/VICHY</v>
      </c>
      <c r="P9" s="114">
        <f>SUM(G35:G37)</f>
        <v>270</v>
      </c>
      <c r="Q9" s="104">
        <f>RANK(P9, P$7:P$13, 1) + COUNTIF(P$7:P9, P9) - 1</f>
        <v>7</v>
      </c>
      <c r="S9" s="117" t="str">
        <f t="shared" si="1"/>
        <v>CHARADE</v>
      </c>
      <c r="T9" s="129">
        <f t="shared" si="2"/>
        <v>197</v>
      </c>
      <c r="U9" s="104">
        <f t="shared" si="3"/>
        <v>3</v>
      </c>
      <c r="V9">
        <v>190</v>
      </c>
      <c r="W9">
        <f t="shared" si="4"/>
        <v>387</v>
      </c>
      <c r="X9">
        <v>3</v>
      </c>
    </row>
    <row r="10" spans="1:24" ht="20.100000000000001" customHeight="1" thickBot="1" x14ac:dyDescent="0.25">
      <c r="A10" s="132" t="s">
        <v>49</v>
      </c>
      <c r="B10" s="133" t="s">
        <v>50</v>
      </c>
      <c r="C10" s="92" t="str">
        <f t="shared" si="0"/>
        <v>ChristianMOULIN</v>
      </c>
      <c r="D10" s="105" t="s">
        <v>192</v>
      </c>
      <c r="E10" s="160">
        <v>64</v>
      </c>
      <c r="J10" s="264" t="s">
        <v>195</v>
      </c>
      <c r="K10" s="265"/>
      <c r="L10" s="125" t="s">
        <v>190</v>
      </c>
      <c r="M10" s="103" t="s">
        <v>191</v>
      </c>
      <c r="O10" s="119" t="str">
        <f>A41</f>
        <v>VAL D'AUZON</v>
      </c>
      <c r="P10" s="114">
        <f>SUM(G42:G44)</f>
        <v>189</v>
      </c>
      <c r="Q10" s="104">
        <f>RANK(P10, P$7:P$13, 1) + COUNTIF(P$7:P10, P10) - 1</f>
        <v>1</v>
      </c>
      <c r="S10" s="117" t="str">
        <f t="shared" si="1"/>
        <v>GAZELEC CLERMONT</v>
      </c>
      <c r="T10" s="129">
        <f t="shared" si="2"/>
        <v>203</v>
      </c>
      <c r="U10" s="104">
        <f t="shared" si="3"/>
        <v>4</v>
      </c>
      <c r="V10">
        <v>184</v>
      </c>
      <c r="W10">
        <f t="shared" si="4"/>
        <v>387</v>
      </c>
      <c r="X10">
        <v>3</v>
      </c>
    </row>
    <row r="11" spans="1:24" ht="20.100000000000001" customHeight="1" thickBot="1" x14ac:dyDescent="0.25">
      <c r="A11" s="132" t="s">
        <v>239</v>
      </c>
      <c r="B11" s="133" t="s">
        <v>240</v>
      </c>
      <c r="C11" s="158" t="str">
        <f>TRIM(CONCATENATE(B11,A11))</f>
        <v>LucDIAZ</v>
      </c>
      <c r="D11" s="159" t="s">
        <v>192</v>
      </c>
      <c r="E11" s="161">
        <v>62</v>
      </c>
      <c r="J11" s="109" t="str">
        <f t="array" ref="J11">IFERROR(INDEX(A$5:A$111, MATCH(1, (D$5:D$111="M")*(E$5:E$111=L11)*(COUNTIF(J$10:J10,A$5:A$111)=0), 0)),"")</f>
        <v>JACQUEMOT</v>
      </c>
      <c r="K11" s="109" t="str">
        <f t="array" ref="K11">IFERROR(INDEX(B$5:B$111, MATCH(1, (D$5:D$111="M")*(E$5:E$111=L11)*(COUNTIF(L$10:L10,E$5:E$111)=0), 0)),"")</f>
        <v>Thierry</v>
      </c>
      <c r="L11" s="127">
        <f t="array" ref="L11">IFERROR(SMALL(IF(D$5:D$111="M",E$5:E$111), ROW(A1)),"")</f>
        <v>57</v>
      </c>
      <c r="M11" s="106">
        <v>1</v>
      </c>
      <c r="O11" s="119" t="str">
        <f>A63</f>
        <v>CHARADE</v>
      </c>
      <c r="P11" s="114">
        <f>SUM(G64:G66)</f>
        <v>197</v>
      </c>
      <c r="Q11" s="104">
        <f>RANK(P11, P$7:P$13, 1) + COUNTIF(P$7:P11, P11) - 1</f>
        <v>3</v>
      </c>
      <c r="S11" s="117" t="str">
        <f t="shared" si="1"/>
        <v>MAURIAC</v>
      </c>
      <c r="T11" s="129">
        <f t="shared" si="2"/>
        <v>205</v>
      </c>
      <c r="U11" s="104">
        <f t="shared" si="3"/>
        <v>5</v>
      </c>
      <c r="V11">
        <v>185</v>
      </c>
      <c r="W11">
        <f t="shared" si="4"/>
        <v>390</v>
      </c>
      <c r="X11">
        <v>4</v>
      </c>
    </row>
    <row r="12" spans="1:24" ht="20.100000000000001" customHeight="1" x14ac:dyDescent="0.2">
      <c r="A12" s="132" t="s">
        <v>138</v>
      </c>
      <c r="B12" s="133" t="s">
        <v>44</v>
      </c>
      <c r="C12" s="134" t="str">
        <f t="shared" ref="C12:C13" si="5">TRIM(CONCATENATE(B12,A12))</f>
        <v>JackyPEGEON</v>
      </c>
      <c r="D12" s="105" t="s">
        <v>192</v>
      </c>
      <c r="E12" s="77">
        <v>90</v>
      </c>
      <c r="J12" s="109" t="str">
        <f t="array" ref="J12">IFERROR(INDEX(A$5:A$111, MATCH(1, (D$5:D$111="M")*(E$5:E$111=L12)*(COUNTIF(J$10:J11,A$5:A$111)=0), 0)),"")</f>
        <v>PERRIER</v>
      </c>
      <c r="K12" s="109" t="str">
        <f t="array" ref="K12">IFERROR(INDEX(B$5:B$111, MATCH(1, (D$5:D$111="M")*(E$5:E$111=L12)*(COUNTIF(K$10:K11,B$5:B$111)=0), 0)),"")</f>
        <v>Serge</v>
      </c>
      <c r="L12" s="127">
        <f t="array" ref="L12">IFERROR(SMALL(IF(D$5:D$111="M",E$5:E$111), ROW(A2)),"")</f>
        <v>60</v>
      </c>
      <c r="M12" s="106">
        <v>2</v>
      </c>
      <c r="O12" s="119" t="str">
        <f>A77</f>
        <v>MAURIAC</v>
      </c>
      <c r="P12" s="114">
        <f>SUM(G78:G80)</f>
        <v>205</v>
      </c>
      <c r="Q12" s="104">
        <f>RANK(P12, P$7:P$13, 1) + COUNTIF(P$7:P12, P12) - 1</f>
        <v>5</v>
      </c>
      <c r="S12" s="117" t="str">
        <f t="shared" si="1"/>
        <v>MONTPENSIER</v>
      </c>
      <c r="T12" s="129">
        <f t="shared" si="2"/>
        <v>240</v>
      </c>
      <c r="U12" s="104">
        <f t="shared" si="3"/>
        <v>6</v>
      </c>
      <c r="V12">
        <v>204</v>
      </c>
      <c r="W12">
        <f t="shared" si="4"/>
        <v>444</v>
      </c>
      <c r="X12">
        <v>5</v>
      </c>
    </row>
    <row r="13" spans="1:24" ht="20.100000000000001" customHeight="1" x14ac:dyDescent="0.2">
      <c r="A13" s="132" t="s">
        <v>152</v>
      </c>
      <c r="B13" s="133" t="s">
        <v>24</v>
      </c>
      <c r="C13" s="134" t="str">
        <f t="shared" si="5"/>
        <v>Jean LouisSANITAS</v>
      </c>
      <c r="D13" s="105" t="s">
        <v>192</v>
      </c>
      <c r="E13" s="77">
        <v>69</v>
      </c>
      <c r="J13" s="109" t="str">
        <f t="array" ref="J13">IFERROR(INDEX(A$5:A$111, MATCH(1, (D$5:D$111="M")*(E$5:E$111=L13)*(COUNTIF(J$10:J12,A$5:A$111)=0), 0)),"")</f>
        <v>DIAZ</v>
      </c>
      <c r="K13" s="109" t="str">
        <f t="array" ref="K13">IFERROR(INDEX(B$6:B$111, MATCH(1, (D$6:D$111="M")*(E$6:E$111=L13)*(COUNTIF(K$10:K12,B$6:B$111)=0), 0)),"")</f>
        <v>Luc</v>
      </c>
      <c r="L13" s="127">
        <f t="array" ref="L13">IFERROR(SMALL(IF(D$5:D$111="M",E$5:E$111), ROW(A3)),"")</f>
        <v>62</v>
      </c>
      <c r="M13" s="106">
        <v>3</v>
      </c>
      <c r="O13" s="123" t="str">
        <f>A84</f>
        <v>MONTPENSIER</v>
      </c>
      <c r="P13" s="124">
        <f>SUM(G85:G87)</f>
        <v>240</v>
      </c>
      <c r="Q13" s="104">
        <f>RANK(P13, P$7:P$13, 1) + COUNTIF(P$7:P13, P13) - 1</f>
        <v>6</v>
      </c>
      <c r="S13" s="117" t="str">
        <f t="shared" si="1"/>
        <v>GAZELEC MOULINS/VICHY</v>
      </c>
      <c r="T13" s="129">
        <f t="shared" si="2"/>
        <v>270</v>
      </c>
      <c r="U13" s="104">
        <f t="shared" si="3"/>
        <v>7</v>
      </c>
      <c r="V13">
        <v>270</v>
      </c>
      <c r="W13">
        <f t="shared" si="4"/>
        <v>540</v>
      </c>
      <c r="X13">
        <v>6</v>
      </c>
    </row>
    <row r="14" spans="1:24" ht="20.100000000000001" customHeight="1" x14ac:dyDescent="0.2">
      <c r="A14" s="80"/>
      <c r="B14" s="80"/>
      <c r="C14" s="92" t="str">
        <f t="shared" si="0"/>
        <v/>
      </c>
      <c r="D14" s="80"/>
      <c r="E14" s="80"/>
      <c r="J14" s="109" t="str">
        <f t="array" ref="J14">IFERROR(INDEX(A$5:A$111, MATCH(1, (D$5:D$111="M")*(E$5:E$111=L14)*(COUNTIF(J$10:J13,A$5:A$111)=0), 0)),"")</f>
        <v xml:space="preserve">BRUNEL </v>
      </c>
      <c r="K14" s="109" t="str">
        <f t="array" ref="K14">IFERROR(INDEX(B$6:B$111, MATCH(1, (D$6:D$111="M")*(E$6:E$111=L14)*(COUNTIF(K$10:K13,B$6:B$111)=0), 0)),"")</f>
        <v>Robert</v>
      </c>
      <c r="L14" s="127">
        <f t="array" ref="L14">IFERROR(SMALL(IF(D$5:D$111="M",E$5:E$111), ROW(A4)),"")</f>
        <v>62</v>
      </c>
      <c r="M14" s="106">
        <v>3</v>
      </c>
    </row>
    <row r="15" spans="1:24" ht="20.100000000000001" customHeight="1" x14ac:dyDescent="0.2">
      <c r="A15" s="80"/>
      <c r="B15" s="80"/>
      <c r="C15" s="92" t="str">
        <f t="shared" si="0"/>
        <v/>
      </c>
      <c r="D15" s="80"/>
      <c r="E15" s="80"/>
    </row>
    <row r="16" spans="1:24" ht="20.100000000000001" customHeight="1" x14ac:dyDescent="0.2">
      <c r="A16" s="272" t="s">
        <v>130</v>
      </c>
      <c r="B16" s="273"/>
      <c r="C16" s="273"/>
      <c r="D16" s="273"/>
      <c r="G16" s="100" t="s">
        <v>187</v>
      </c>
      <c r="J16" s="266" t="s">
        <v>196</v>
      </c>
      <c r="K16" s="267"/>
      <c r="L16" s="102" t="s">
        <v>197</v>
      </c>
      <c r="M16" s="110" t="s">
        <v>233</v>
      </c>
    </row>
    <row r="17" spans="1:13" ht="20.100000000000001" customHeight="1" thickBot="1" x14ac:dyDescent="0.25">
      <c r="A17" s="93" t="s">
        <v>180</v>
      </c>
      <c r="B17" s="94" t="s">
        <v>81</v>
      </c>
      <c r="C17" s="95" t="s">
        <v>186</v>
      </c>
      <c r="D17" s="95" t="s">
        <v>194</v>
      </c>
      <c r="E17" s="77" t="s">
        <v>181</v>
      </c>
      <c r="G17" s="101">
        <f>SMALL(Tableau414[BRUT],1)</f>
        <v>65</v>
      </c>
      <c r="J17" s="154" t="s">
        <v>177</v>
      </c>
      <c r="K17" s="154" t="s">
        <v>178</v>
      </c>
      <c r="L17" s="111" t="s">
        <v>247</v>
      </c>
      <c r="M17" s="80"/>
    </row>
    <row r="18" spans="1:13" ht="20.100000000000001" customHeight="1" x14ac:dyDescent="0.2">
      <c r="A18" s="135" t="s">
        <v>20</v>
      </c>
      <c r="B18" s="136" t="s">
        <v>250</v>
      </c>
      <c r="C18" s="92" t="str">
        <f t="shared" ref="C18:C89" si="6">TRIM(CONCATENATE(B18,A18))</f>
        <v>Gérard CAMBET</v>
      </c>
      <c r="D18" s="105" t="s">
        <v>192</v>
      </c>
      <c r="E18" s="77">
        <v>68</v>
      </c>
      <c r="G18" s="101">
        <f>SMALL(Tableau414[BRUT],2)</f>
        <v>68</v>
      </c>
      <c r="J18" s="112"/>
      <c r="K18" s="112"/>
      <c r="L18" s="112"/>
      <c r="M18" s="80"/>
    </row>
    <row r="19" spans="1:13" ht="20.100000000000001" customHeight="1" x14ac:dyDescent="0.2">
      <c r="A19" s="135" t="s">
        <v>20</v>
      </c>
      <c r="B19" s="135" t="s">
        <v>101</v>
      </c>
      <c r="C19" s="92" t="str">
        <f t="shared" si="6"/>
        <v>JocelyneCAMBET</v>
      </c>
      <c r="D19" s="105" t="s">
        <v>193</v>
      </c>
      <c r="E19" s="77">
        <v>83</v>
      </c>
      <c r="G19" s="101">
        <f>SMALL(Tableau414[BRUT],3)</f>
        <v>70</v>
      </c>
      <c r="J19" s="282" t="s">
        <v>200</v>
      </c>
      <c r="K19" s="283"/>
      <c r="L19" s="102" t="s">
        <v>197</v>
      </c>
      <c r="M19" s="113" t="s">
        <v>233</v>
      </c>
    </row>
    <row r="20" spans="1:13" ht="20.100000000000001" customHeight="1" x14ac:dyDescent="0.2">
      <c r="A20" s="135" t="s">
        <v>169</v>
      </c>
      <c r="B20" s="136" t="s">
        <v>39</v>
      </c>
      <c r="C20" s="92" t="str">
        <f t="shared" si="6"/>
        <v>SergeFONTANON</v>
      </c>
      <c r="D20" s="105" t="s">
        <v>192</v>
      </c>
      <c r="E20" s="77">
        <v>71</v>
      </c>
      <c r="J20" s="147" t="s">
        <v>246</v>
      </c>
      <c r="K20" s="148" t="s">
        <v>71</v>
      </c>
      <c r="L20" s="114" t="s">
        <v>248</v>
      </c>
      <c r="M20" s="115"/>
    </row>
    <row r="21" spans="1:13" ht="20.100000000000001" customHeight="1" x14ac:dyDescent="0.2">
      <c r="A21" s="135" t="s">
        <v>107</v>
      </c>
      <c r="B21" s="136" t="s">
        <v>37</v>
      </c>
      <c r="C21" s="92" t="str">
        <f t="shared" si="6"/>
        <v>GeorgesFLORENCIO</v>
      </c>
      <c r="D21" s="105" t="s">
        <v>192</v>
      </c>
      <c r="E21" s="77">
        <v>70</v>
      </c>
    </row>
    <row r="22" spans="1:13" ht="20.100000000000001" customHeight="1" x14ac:dyDescent="0.2">
      <c r="A22" s="135" t="s">
        <v>107</v>
      </c>
      <c r="B22" s="135" t="s">
        <v>108</v>
      </c>
      <c r="C22" s="134" t="str">
        <f t="shared" ref="C22:C23" si="7">TRIM(CONCATENATE(B22,A22))</f>
        <v>JanineFLORENCIO</v>
      </c>
      <c r="D22" s="105" t="s">
        <v>193</v>
      </c>
      <c r="E22" s="77">
        <v>78</v>
      </c>
    </row>
    <row r="23" spans="1:13" ht="20.100000000000001" customHeight="1" x14ac:dyDescent="0.2">
      <c r="A23" s="135" t="s">
        <v>92</v>
      </c>
      <c r="B23" s="136" t="s">
        <v>52</v>
      </c>
      <c r="C23" s="134" t="str">
        <f t="shared" si="7"/>
        <v>GillesFROMAGE</v>
      </c>
      <c r="D23" s="105" t="s">
        <v>192</v>
      </c>
      <c r="E23" s="77">
        <v>77</v>
      </c>
    </row>
    <row r="24" spans="1:13" ht="20.100000000000001" customHeight="1" x14ac:dyDescent="0.2">
      <c r="A24" s="135" t="s">
        <v>17</v>
      </c>
      <c r="B24" s="136" t="s">
        <v>18</v>
      </c>
      <c r="C24" s="134" t="str">
        <f t="shared" ref="C24:C25" si="8">TRIM(CONCATENATE(B24,A24))</f>
        <v>Jean MarcHESEL</v>
      </c>
      <c r="D24" s="105" t="s">
        <v>192</v>
      </c>
      <c r="E24" s="77">
        <v>65</v>
      </c>
    </row>
    <row r="25" spans="1:13" ht="20.100000000000001" customHeight="1" x14ac:dyDescent="0.2">
      <c r="A25" s="135" t="s">
        <v>212</v>
      </c>
      <c r="B25" s="136" t="s">
        <v>213</v>
      </c>
      <c r="C25" s="134" t="str">
        <f t="shared" si="8"/>
        <v>PascalJOFFRE</v>
      </c>
      <c r="D25" s="105" t="s">
        <v>192</v>
      </c>
      <c r="E25" s="77">
        <v>71</v>
      </c>
    </row>
    <row r="26" spans="1:13" ht="20.100000000000001" customHeight="1" x14ac:dyDescent="0.2">
      <c r="A26" s="135" t="s">
        <v>212</v>
      </c>
      <c r="B26" s="135" t="s">
        <v>214</v>
      </c>
      <c r="C26" s="92" t="str">
        <f t="shared" si="6"/>
        <v>CarolineJOFFRE</v>
      </c>
      <c r="D26" s="105" t="s">
        <v>193</v>
      </c>
      <c r="E26" s="77">
        <v>86</v>
      </c>
    </row>
    <row r="27" spans="1:13" ht="20.100000000000001" customHeight="1" x14ac:dyDescent="0.2">
      <c r="A27" s="135" t="s">
        <v>65</v>
      </c>
      <c r="B27" s="136" t="s">
        <v>14</v>
      </c>
      <c r="C27" s="92" t="str">
        <f t="shared" si="6"/>
        <v>MichelMANOUVRIER</v>
      </c>
      <c r="D27" s="105" t="s">
        <v>192</v>
      </c>
      <c r="E27" s="77">
        <v>71</v>
      </c>
    </row>
    <row r="28" spans="1:13" ht="20.100000000000001" customHeight="1" x14ac:dyDescent="0.2">
      <c r="A28" s="135" t="s">
        <v>67</v>
      </c>
      <c r="B28" s="135" t="s">
        <v>68</v>
      </c>
      <c r="C28" s="92" t="str">
        <f t="shared" si="6"/>
        <v>CorinneTIXIER</v>
      </c>
      <c r="D28" s="105" t="s">
        <v>193</v>
      </c>
      <c r="E28" s="77">
        <v>80</v>
      </c>
    </row>
    <row r="29" spans="1:13" ht="20.100000000000001" customHeight="1" x14ac:dyDescent="0.2">
      <c r="A29" s="81" t="s">
        <v>93</v>
      </c>
      <c r="B29" s="81" t="s">
        <v>58</v>
      </c>
      <c r="C29" s="180" t="str">
        <f>TRIM(CONCATENATE(B29,A29))</f>
        <v>AnnieSIOC HAN</v>
      </c>
      <c r="D29" s="105" t="s">
        <v>193</v>
      </c>
      <c r="E29" s="181">
        <v>82</v>
      </c>
    </row>
    <row r="30" spans="1:13" ht="20.100000000000001" customHeight="1" x14ac:dyDescent="0.2">
      <c r="A30" s="135" t="s">
        <v>86</v>
      </c>
      <c r="B30" s="137" t="s">
        <v>52</v>
      </c>
      <c r="C30" s="92" t="str">
        <f t="shared" si="6"/>
        <v>GillesVESCOVI</v>
      </c>
      <c r="D30" s="105" t="s">
        <v>192</v>
      </c>
      <c r="E30" s="77">
        <v>71</v>
      </c>
    </row>
    <row r="31" spans="1:13" ht="20.100000000000001" customHeight="1" x14ac:dyDescent="0.2">
      <c r="A31" s="135" t="s">
        <v>86</v>
      </c>
      <c r="B31" s="135" t="s">
        <v>95</v>
      </c>
      <c r="C31" s="92" t="str">
        <f t="shared" si="6"/>
        <v>RégineVESCOVI</v>
      </c>
      <c r="D31" s="105" t="s">
        <v>193</v>
      </c>
      <c r="E31" s="77">
        <v>78</v>
      </c>
    </row>
    <row r="32" spans="1:13" ht="20.100000000000001" customHeight="1" x14ac:dyDescent="0.2">
      <c r="A32" s="80"/>
      <c r="B32" s="80"/>
      <c r="C32" s="92" t="str">
        <f t="shared" si="6"/>
        <v/>
      </c>
      <c r="D32" s="80"/>
      <c r="E32" s="80"/>
    </row>
    <row r="33" spans="1:7" ht="20.100000000000001" customHeight="1" x14ac:dyDescent="0.2">
      <c r="A33" s="80"/>
      <c r="B33" s="80"/>
      <c r="C33" s="92" t="str">
        <f t="shared" si="6"/>
        <v/>
      </c>
      <c r="D33" s="80"/>
      <c r="E33" s="80"/>
    </row>
    <row r="34" spans="1:7" ht="20.100000000000001" customHeight="1" x14ac:dyDescent="0.2">
      <c r="A34" s="274" t="s">
        <v>184</v>
      </c>
      <c r="B34" s="275"/>
      <c r="C34" s="275"/>
      <c r="D34" s="275"/>
      <c r="G34" s="100" t="s">
        <v>187</v>
      </c>
    </row>
    <row r="35" spans="1:7" ht="20.100000000000001" customHeight="1" thickBot="1" x14ac:dyDescent="0.25">
      <c r="A35" s="93" t="s">
        <v>180</v>
      </c>
      <c r="B35" s="94" t="s">
        <v>81</v>
      </c>
      <c r="C35" s="95" t="s">
        <v>186</v>
      </c>
      <c r="D35" s="95" t="s">
        <v>194</v>
      </c>
      <c r="E35" s="77" t="s">
        <v>181</v>
      </c>
      <c r="G35" s="101">
        <f>SMALL(Tableau515[BRUT],1)</f>
        <v>90</v>
      </c>
    </row>
    <row r="36" spans="1:7" ht="20.100000000000001" customHeight="1" x14ac:dyDescent="0.2">
      <c r="A36" s="138" t="s">
        <v>64</v>
      </c>
      <c r="B36" s="139" t="s">
        <v>10</v>
      </c>
      <c r="C36" s="92" t="str">
        <f t="shared" si="6"/>
        <v>DenisGAILLARD</v>
      </c>
      <c r="D36" s="105" t="s">
        <v>192</v>
      </c>
      <c r="E36" s="84">
        <v>90</v>
      </c>
      <c r="G36" s="101">
        <f>SMALL(Tableau515[BRUT],2)</f>
        <v>90</v>
      </c>
    </row>
    <row r="37" spans="1:7" ht="20.100000000000001" customHeight="1" x14ac:dyDescent="0.2">
      <c r="A37" s="140" t="s">
        <v>91</v>
      </c>
      <c r="B37" s="141" t="s">
        <v>43</v>
      </c>
      <c r="C37" s="92" t="str">
        <f t="shared" si="6"/>
        <v>PierreBROCHON</v>
      </c>
      <c r="D37" s="105" t="s">
        <v>192</v>
      </c>
      <c r="E37" s="78">
        <v>90</v>
      </c>
      <c r="G37" s="101">
        <f>SMALL(Tableau515[BRUT],3)</f>
        <v>90</v>
      </c>
    </row>
    <row r="38" spans="1:7" ht="20.100000000000001" customHeight="1" x14ac:dyDescent="0.2">
      <c r="A38" s="142" t="s">
        <v>91</v>
      </c>
      <c r="B38" s="143" t="s">
        <v>94</v>
      </c>
      <c r="C38" s="92" t="str">
        <f t="shared" si="6"/>
        <v>ClaudineBROCHON</v>
      </c>
      <c r="D38" s="105" t="s">
        <v>193</v>
      </c>
      <c r="E38" s="78">
        <v>90</v>
      </c>
    </row>
    <row r="39" spans="1:7" ht="20.100000000000001" customHeight="1" x14ac:dyDescent="0.2">
      <c r="A39" s="80"/>
      <c r="B39" s="80"/>
      <c r="C39" s="92" t="str">
        <f t="shared" si="6"/>
        <v/>
      </c>
      <c r="D39" s="80"/>
      <c r="E39" s="80"/>
    </row>
    <row r="40" spans="1:7" ht="20.100000000000001" customHeight="1" x14ac:dyDescent="0.2">
      <c r="A40" s="80"/>
      <c r="B40" s="80"/>
      <c r="C40" s="92" t="str">
        <f t="shared" si="6"/>
        <v/>
      </c>
      <c r="D40" s="80"/>
      <c r="E40" s="80"/>
    </row>
    <row r="41" spans="1:7" ht="20.100000000000001" customHeight="1" thickBot="1" x14ac:dyDescent="0.25">
      <c r="A41" s="276" t="s">
        <v>19</v>
      </c>
      <c r="B41" s="277"/>
      <c r="C41" s="277"/>
      <c r="D41" s="277"/>
      <c r="G41" s="100" t="s">
        <v>187</v>
      </c>
    </row>
    <row r="42" spans="1:7" ht="20.100000000000001" customHeight="1" thickBot="1" x14ac:dyDescent="0.25">
      <c r="A42" s="93" t="s">
        <v>180</v>
      </c>
      <c r="B42" s="94" t="s">
        <v>81</v>
      </c>
      <c r="C42" s="95" t="s">
        <v>186</v>
      </c>
      <c r="D42" s="95" t="s">
        <v>194</v>
      </c>
      <c r="E42" s="77" t="s">
        <v>181</v>
      </c>
      <c r="G42" s="101">
        <f>SMALL(Tableau616[BRUT],1)</f>
        <v>62</v>
      </c>
    </row>
    <row r="43" spans="1:7" ht="20.100000000000001" customHeight="1" x14ac:dyDescent="0.2">
      <c r="A43" s="145" t="s">
        <v>32</v>
      </c>
      <c r="B43" s="146" t="s">
        <v>25</v>
      </c>
      <c r="C43" s="92" t="str">
        <f t="shared" si="6"/>
        <v>JacquesANAVOISARD</v>
      </c>
      <c r="D43" s="105" t="s">
        <v>192</v>
      </c>
      <c r="E43" s="77">
        <v>72</v>
      </c>
      <c r="G43" s="101">
        <f>SMALL(Tableau616[BRUT],2)</f>
        <v>63</v>
      </c>
    </row>
    <row r="44" spans="1:7" ht="20.100000000000001" customHeight="1" x14ac:dyDescent="0.2">
      <c r="A44" s="147" t="s">
        <v>215</v>
      </c>
      <c r="B44" s="148" t="s">
        <v>121</v>
      </c>
      <c r="C44" s="92" t="str">
        <f t="shared" si="6"/>
        <v>Jean LucBABUT</v>
      </c>
      <c r="D44" s="105" t="s">
        <v>192</v>
      </c>
      <c r="E44" s="77">
        <v>68</v>
      </c>
      <c r="G44" s="101">
        <f>SMALL(Tableau616[BRUT],3)</f>
        <v>64</v>
      </c>
    </row>
    <row r="45" spans="1:7" ht="20.100000000000001" customHeight="1" x14ac:dyDescent="0.2">
      <c r="A45" s="147" t="s">
        <v>216</v>
      </c>
      <c r="B45" s="148" t="s">
        <v>217</v>
      </c>
      <c r="C45" s="92" t="str">
        <f t="shared" si="6"/>
        <v>MarcBARSANGES</v>
      </c>
      <c r="D45" s="105" t="s">
        <v>192</v>
      </c>
      <c r="E45" s="77">
        <v>73</v>
      </c>
      <c r="G45" s="144"/>
    </row>
    <row r="46" spans="1:7" ht="20.100000000000001" customHeight="1" x14ac:dyDescent="0.2">
      <c r="A46" s="147" t="s">
        <v>218</v>
      </c>
      <c r="B46" s="147" t="s">
        <v>219</v>
      </c>
      <c r="C46" s="134" t="str">
        <f t="shared" ref="C46:C48" si="9">TRIM(CONCATENATE(B46,A46))</f>
        <v>MoniqueBONNET</v>
      </c>
      <c r="D46" s="105" t="s">
        <v>193</v>
      </c>
      <c r="E46" s="77">
        <v>81</v>
      </c>
      <c r="G46" s="144"/>
    </row>
    <row r="47" spans="1:7" ht="20.100000000000001" customHeight="1" x14ac:dyDescent="0.2">
      <c r="A47" s="147" t="s">
        <v>220</v>
      </c>
      <c r="B47" s="147" t="s">
        <v>236</v>
      </c>
      <c r="C47" s="134" t="str">
        <f t="shared" si="9"/>
        <v>Marie ThereseBOURLON</v>
      </c>
      <c r="D47" s="105" t="s">
        <v>193</v>
      </c>
      <c r="E47" s="77">
        <v>83</v>
      </c>
      <c r="G47" s="144"/>
    </row>
    <row r="48" spans="1:7" ht="20.100000000000001" customHeight="1" x14ac:dyDescent="0.2">
      <c r="A48" s="147" t="s">
        <v>221</v>
      </c>
      <c r="B48" s="148" t="s">
        <v>7</v>
      </c>
      <c r="C48" s="134" t="str">
        <f t="shared" si="9"/>
        <v>RobertBRUNEL</v>
      </c>
      <c r="D48" s="105" t="s">
        <v>192</v>
      </c>
      <c r="E48" s="77">
        <v>62</v>
      </c>
      <c r="G48" s="144"/>
    </row>
    <row r="49" spans="1:7" ht="20.100000000000001" customHeight="1" x14ac:dyDescent="0.2">
      <c r="A49" s="147" t="s">
        <v>222</v>
      </c>
      <c r="B49" s="147" t="s">
        <v>223</v>
      </c>
      <c r="C49" s="134" t="str">
        <f t="shared" ref="C49:C51" si="10">TRIM(CONCATENATE(B49,A49))</f>
        <v>JeanineCHOISNET</v>
      </c>
      <c r="D49" s="105" t="s">
        <v>193</v>
      </c>
      <c r="E49" s="77">
        <v>77</v>
      </c>
      <c r="G49" s="144"/>
    </row>
    <row r="50" spans="1:7" ht="20.100000000000001" customHeight="1" x14ac:dyDescent="0.2">
      <c r="A50" s="147" t="s">
        <v>199</v>
      </c>
      <c r="B50" s="147" t="s">
        <v>60</v>
      </c>
      <c r="C50" s="134" t="str">
        <f t="shared" si="10"/>
        <v>MichelleCIBERT GOTHON</v>
      </c>
      <c r="D50" s="105" t="s">
        <v>193</v>
      </c>
      <c r="E50" s="77">
        <v>78</v>
      </c>
      <c r="G50" s="144"/>
    </row>
    <row r="51" spans="1:7" ht="20.100000000000001" customHeight="1" x14ac:dyDescent="0.2">
      <c r="A51" s="147" t="s">
        <v>224</v>
      </c>
      <c r="B51" s="148" t="s">
        <v>47</v>
      </c>
      <c r="C51" s="134" t="str">
        <f t="shared" si="10"/>
        <v>PhilippeCUVIER</v>
      </c>
      <c r="D51" s="105" t="s">
        <v>192</v>
      </c>
      <c r="E51" s="77">
        <v>64</v>
      </c>
    </row>
    <row r="52" spans="1:7" ht="20.100000000000001" customHeight="1" x14ac:dyDescent="0.2">
      <c r="A52" s="200" t="s">
        <v>75</v>
      </c>
      <c r="B52" s="201" t="s">
        <v>257</v>
      </c>
      <c r="C52" s="92" t="str">
        <f t="shared" si="6"/>
        <v>Jean-MichelFAURIE</v>
      </c>
      <c r="D52" s="105" t="s">
        <v>192</v>
      </c>
      <c r="E52" s="77">
        <v>77</v>
      </c>
    </row>
    <row r="53" spans="1:7" ht="20.100000000000001" customHeight="1" x14ac:dyDescent="0.2">
      <c r="A53" s="147" t="s">
        <v>159</v>
      </c>
      <c r="B53" s="148" t="s">
        <v>160</v>
      </c>
      <c r="C53" s="180" t="str">
        <f>TRIM(CONCATENATE(B53,A53))</f>
        <v>MaëlGEBRILLAT</v>
      </c>
      <c r="D53" s="105" t="s">
        <v>192</v>
      </c>
      <c r="E53" s="181">
        <v>67</v>
      </c>
    </row>
    <row r="54" spans="1:7" ht="20.100000000000001" customHeight="1" x14ac:dyDescent="0.2">
      <c r="A54" s="147" t="s">
        <v>34</v>
      </c>
      <c r="B54" s="148" t="s">
        <v>225</v>
      </c>
      <c r="C54" s="92" t="str">
        <f t="shared" si="6"/>
        <v>DanielMARTIN</v>
      </c>
      <c r="D54" s="105" t="s">
        <v>192</v>
      </c>
      <c r="E54" s="77">
        <v>76</v>
      </c>
    </row>
    <row r="55" spans="1:7" ht="20.100000000000001" customHeight="1" x14ac:dyDescent="0.2">
      <c r="A55" s="147" t="s">
        <v>226</v>
      </c>
      <c r="B55" s="148" t="s">
        <v>227</v>
      </c>
      <c r="C55" s="92" t="str">
        <f t="shared" si="6"/>
        <v>Jean MarcMIGUET</v>
      </c>
      <c r="D55" s="105" t="s">
        <v>192</v>
      </c>
      <c r="E55" s="77">
        <v>88</v>
      </c>
    </row>
    <row r="56" spans="1:7" ht="20.100000000000001" customHeight="1" x14ac:dyDescent="0.2">
      <c r="A56" s="147" t="s">
        <v>228</v>
      </c>
      <c r="B56" s="148" t="s">
        <v>79</v>
      </c>
      <c r="C56" s="92" t="str">
        <f t="shared" si="6"/>
        <v>Jean PierreMOUTREUX</v>
      </c>
      <c r="D56" s="105" t="s">
        <v>192</v>
      </c>
      <c r="E56" s="77">
        <v>68</v>
      </c>
    </row>
    <row r="57" spans="1:7" ht="20.100000000000001" customHeight="1" x14ac:dyDescent="0.2">
      <c r="A57" s="147" t="s">
        <v>229</v>
      </c>
      <c r="B57" s="148" t="s">
        <v>31</v>
      </c>
      <c r="C57" s="92" t="str">
        <f t="shared" si="6"/>
        <v>DanielPIERROT</v>
      </c>
      <c r="D57" s="105" t="s">
        <v>192</v>
      </c>
      <c r="E57" s="77">
        <v>72</v>
      </c>
    </row>
    <row r="58" spans="1:7" ht="20.100000000000001" customHeight="1" x14ac:dyDescent="0.2">
      <c r="A58" s="147" t="s">
        <v>246</v>
      </c>
      <c r="B58" s="148" t="s">
        <v>71</v>
      </c>
      <c r="C58" s="180" t="str">
        <f>TRIM(CONCATENATE(B58,A58))</f>
        <v>ClaudePLOSSARD</v>
      </c>
      <c r="D58" s="105" t="s">
        <v>192</v>
      </c>
      <c r="E58" s="181">
        <v>77</v>
      </c>
    </row>
    <row r="59" spans="1:7" ht="20.100000000000001" customHeight="1" x14ac:dyDescent="0.2">
      <c r="A59" s="147" t="s">
        <v>230</v>
      </c>
      <c r="B59" s="148" t="s">
        <v>124</v>
      </c>
      <c r="C59" s="92" t="str">
        <f t="shared" si="6"/>
        <v>ChristopheSOU AH Y</v>
      </c>
      <c r="D59" s="105" t="s">
        <v>192</v>
      </c>
      <c r="E59" s="77">
        <v>90</v>
      </c>
    </row>
    <row r="60" spans="1:7" ht="20.100000000000001" customHeight="1" x14ac:dyDescent="0.2">
      <c r="A60" s="147" t="s">
        <v>231</v>
      </c>
      <c r="B60" s="148" t="s">
        <v>31</v>
      </c>
      <c r="C60" s="92" t="str">
        <f t="shared" si="6"/>
        <v>DanielVEDEL</v>
      </c>
      <c r="D60" s="105" t="s">
        <v>192</v>
      </c>
      <c r="E60" s="77">
        <v>63</v>
      </c>
    </row>
    <row r="61" spans="1:7" ht="20.100000000000001" customHeight="1" x14ac:dyDescent="0.2">
      <c r="A61" s="80"/>
      <c r="B61" s="80"/>
      <c r="C61" s="92" t="str">
        <f t="shared" si="6"/>
        <v/>
      </c>
      <c r="D61" s="80"/>
      <c r="E61" s="80"/>
    </row>
    <row r="62" spans="1:7" ht="20.100000000000001" customHeight="1" x14ac:dyDescent="0.2">
      <c r="A62" s="80"/>
      <c r="B62" s="80"/>
      <c r="C62" s="92" t="str">
        <f t="shared" si="6"/>
        <v/>
      </c>
      <c r="D62" s="80"/>
      <c r="E62" s="80"/>
    </row>
    <row r="63" spans="1:7" ht="20.100000000000001" customHeight="1" thickBot="1" x14ac:dyDescent="0.25">
      <c r="A63" s="278" t="s">
        <v>8</v>
      </c>
      <c r="B63" s="279"/>
      <c r="C63" s="279"/>
      <c r="D63" s="279"/>
      <c r="G63" s="100" t="s">
        <v>187</v>
      </c>
    </row>
    <row r="64" spans="1:7" ht="20.100000000000001" customHeight="1" thickBot="1" x14ac:dyDescent="0.25">
      <c r="A64" s="93" t="s">
        <v>180</v>
      </c>
      <c r="B64" s="94" t="s">
        <v>81</v>
      </c>
      <c r="C64" s="95" t="s">
        <v>186</v>
      </c>
      <c r="D64" s="95" t="s">
        <v>194</v>
      </c>
      <c r="E64" s="77" t="s">
        <v>181</v>
      </c>
      <c r="G64" s="101">
        <f>SMALL(Tableau717[BRUT],1)</f>
        <v>60</v>
      </c>
    </row>
    <row r="65" spans="1:7" ht="20.100000000000001" customHeight="1" x14ac:dyDescent="0.2">
      <c r="A65" s="149" t="s">
        <v>6</v>
      </c>
      <c r="B65" s="133" t="s">
        <v>7</v>
      </c>
      <c r="C65" s="92" t="str">
        <f t="shared" si="6"/>
        <v>RobertBOURGIER</v>
      </c>
      <c r="D65" s="105" t="s">
        <v>192</v>
      </c>
      <c r="E65" s="77">
        <v>68</v>
      </c>
      <c r="G65" s="101">
        <f>SMALL(Tableau717[BRUT],2)</f>
        <v>68</v>
      </c>
    </row>
    <row r="66" spans="1:7" ht="20.100000000000001" customHeight="1" x14ac:dyDescent="0.2">
      <c r="A66" s="149" t="s">
        <v>22</v>
      </c>
      <c r="B66" s="133" t="s">
        <v>23</v>
      </c>
      <c r="C66" s="134" t="str">
        <f>TRIM(CONCATENATE(B66,A66))</f>
        <v>MarcGRAVELIN</v>
      </c>
      <c r="D66" s="105" t="s">
        <v>192</v>
      </c>
      <c r="E66" s="77">
        <v>73</v>
      </c>
      <c r="G66" s="101">
        <f>SMALL(Tableau717[BRUT],3)</f>
        <v>69</v>
      </c>
    </row>
    <row r="67" spans="1:7" ht="20.100000000000001" customHeight="1" x14ac:dyDescent="0.2">
      <c r="A67" s="149" t="s">
        <v>109</v>
      </c>
      <c r="B67" s="133" t="s">
        <v>52</v>
      </c>
      <c r="C67" s="92" t="str">
        <f t="shared" si="6"/>
        <v>GillesJOSSIER</v>
      </c>
      <c r="D67" s="105" t="s">
        <v>192</v>
      </c>
      <c r="E67" s="77">
        <v>73</v>
      </c>
    </row>
    <row r="68" spans="1:7" ht="20.100000000000001" customHeight="1" x14ac:dyDescent="0.2">
      <c r="A68" s="149" t="s">
        <v>15</v>
      </c>
      <c r="B68" s="133" t="s">
        <v>16</v>
      </c>
      <c r="C68" s="180" t="str">
        <f>TRIM(CONCATENATE(B68,A68))</f>
        <v>JeanLOUBAT</v>
      </c>
      <c r="D68" s="105" t="s">
        <v>192</v>
      </c>
      <c r="E68" s="77">
        <v>69</v>
      </c>
    </row>
    <row r="69" spans="1:7" ht="20.100000000000001" customHeight="1" x14ac:dyDescent="0.2">
      <c r="A69" s="149" t="s">
        <v>15</v>
      </c>
      <c r="B69" s="182" t="s">
        <v>144</v>
      </c>
      <c r="C69" s="180" t="str">
        <f>TRIM(CONCATENATE(B69,A69))</f>
        <v>ChristianeLOUBAT</v>
      </c>
      <c r="D69" s="105" t="s">
        <v>193</v>
      </c>
      <c r="E69" s="77">
        <v>90</v>
      </c>
    </row>
    <row r="70" spans="1:7" ht="20.100000000000001" customHeight="1" x14ac:dyDescent="0.2">
      <c r="A70" s="149" t="s">
        <v>84</v>
      </c>
      <c r="B70" s="149" t="s">
        <v>78</v>
      </c>
      <c r="C70" s="92" t="str">
        <f t="shared" si="6"/>
        <v>ElisabethMEYNIAL</v>
      </c>
      <c r="D70" s="105" t="s">
        <v>193</v>
      </c>
      <c r="E70" s="77">
        <v>80</v>
      </c>
    </row>
    <row r="71" spans="1:7" ht="20.100000000000001" customHeight="1" x14ac:dyDescent="0.2">
      <c r="A71" s="149" t="s">
        <v>42</v>
      </c>
      <c r="B71" s="133" t="s">
        <v>43</v>
      </c>
      <c r="C71" s="92" t="str">
        <f t="shared" si="6"/>
        <v>PierreNEYRIAL</v>
      </c>
      <c r="D71" s="105" t="s">
        <v>192</v>
      </c>
      <c r="E71" s="77">
        <v>78</v>
      </c>
    </row>
    <row r="72" spans="1:7" ht="20.100000000000001" customHeight="1" x14ac:dyDescent="0.2">
      <c r="A72" s="149" t="s">
        <v>38</v>
      </c>
      <c r="B72" s="149" t="s">
        <v>57</v>
      </c>
      <c r="C72" s="92" t="str">
        <f t="shared" si="6"/>
        <v>HuguettePERRIER</v>
      </c>
      <c r="D72" s="105" t="s">
        <v>193</v>
      </c>
      <c r="E72" s="77">
        <v>80</v>
      </c>
    </row>
    <row r="73" spans="1:7" ht="20.100000000000001" customHeight="1" x14ac:dyDescent="0.2">
      <c r="A73" s="149" t="s">
        <v>38</v>
      </c>
      <c r="B73" s="133" t="s">
        <v>39</v>
      </c>
      <c r="C73" s="92" t="str">
        <f t="shared" si="6"/>
        <v>SergePERRIER</v>
      </c>
      <c r="D73" s="105" t="s">
        <v>192</v>
      </c>
      <c r="E73" s="77">
        <v>60</v>
      </c>
    </row>
    <row r="74" spans="1:7" ht="20.100000000000001" customHeight="1" x14ac:dyDescent="0.2">
      <c r="A74" s="150" t="s">
        <v>133</v>
      </c>
      <c r="B74" s="151" t="s">
        <v>39</v>
      </c>
      <c r="C74" s="92" t="str">
        <f t="shared" si="6"/>
        <v>SergeROBERT</v>
      </c>
      <c r="D74" s="105" t="s">
        <v>192</v>
      </c>
      <c r="E74" s="77">
        <v>70</v>
      </c>
    </row>
    <row r="75" spans="1:7" ht="20.100000000000001" customHeight="1" x14ac:dyDescent="0.2">
      <c r="A75" s="80"/>
      <c r="B75" s="80"/>
      <c r="C75" s="92" t="str">
        <f t="shared" si="6"/>
        <v/>
      </c>
      <c r="D75" s="80"/>
      <c r="E75" s="89"/>
    </row>
    <row r="76" spans="1:7" ht="20.100000000000001" customHeight="1" x14ac:dyDescent="0.2">
      <c r="A76" s="80"/>
      <c r="B76" s="80"/>
      <c r="C76" s="92" t="str">
        <f t="shared" si="6"/>
        <v/>
      </c>
      <c r="D76" s="80"/>
      <c r="E76" s="80"/>
    </row>
    <row r="77" spans="1:7" ht="19.350000000000001" customHeight="1" thickBot="1" x14ac:dyDescent="0.25">
      <c r="A77" s="280" t="s">
        <v>74</v>
      </c>
      <c r="B77" s="281"/>
      <c r="C77" s="281"/>
      <c r="D77" s="281"/>
      <c r="G77" s="100" t="s">
        <v>187</v>
      </c>
    </row>
    <row r="78" spans="1:7" ht="19.350000000000001" customHeight="1" thickBot="1" x14ac:dyDescent="0.25">
      <c r="A78" s="99" t="s">
        <v>180</v>
      </c>
      <c r="B78" s="94" t="s">
        <v>81</v>
      </c>
      <c r="C78" s="95" t="s">
        <v>186</v>
      </c>
      <c r="D78" s="95" t="s">
        <v>194</v>
      </c>
      <c r="E78" s="77" t="s">
        <v>181</v>
      </c>
      <c r="G78" s="101">
        <f>SMALL(Tableau818[BRUT],1)</f>
        <v>57</v>
      </c>
    </row>
    <row r="79" spans="1:7" ht="20.100000000000001" customHeight="1" x14ac:dyDescent="0.2">
      <c r="A79" s="152" t="s">
        <v>173</v>
      </c>
      <c r="B79" s="153" t="s">
        <v>174</v>
      </c>
      <c r="C79" s="92" t="str">
        <f t="shared" si="6"/>
        <v>ThierryJACQUEMOT</v>
      </c>
      <c r="D79" s="105" t="s">
        <v>192</v>
      </c>
      <c r="E79" s="77">
        <v>57</v>
      </c>
      <c r="G79" s="101">
        <f>SMALL(Tableau818[BRUT],2)</f>
        <v>72</v>
      </c>
    </row>
    <row r="80" spans="1:7" ht="20.100000000000001" customHeight="1" x14ac:dyDescent="0.2">
      <c r="A80" s="152" t="s">
        <v>29</v>
      </c>
      <c r="B80" s="153" t="s">
        <v>14</v>
      </c>
      <c r="C80" s="92" t="str">
        <f t="shared" si="6"/>
        <v>MichelLABAUNE</v>
      </c>
      <c r="D80" s="105" t="s">
        <v>192</v>
      </c>
      <c r="E80" s="77">
        <v>72</v>
      </c>
      <c r="G80" s="101">
        <f>SMALL(Tableau818[BRUT],3)</f>
        <v>76</v>
      </c>
    </row>
    <row r="81" spans="1:7" ht="20.100000000000001" customHeight="1" x14ac:dyDescent="0.2">
      <c r="A81" s="152" t="s">
        <v>73</v>
      </c>
      <c r="B81" s="152" t="s">
        <v>66</v>
      </c>
      <c r="C81" s="92" t="str">
        <f t="shared" si="6"/>
        <v>MartineVACHOT</v>
      </c>
      <c r="D81" s="105" t="s">
        <v>193</v>
      </c>
      <c r="E81" s="77">
        <v>76</v>
      </c>
    </row>
    <row r="82" spans="1:7" ht="20.100000000000001" customHeight="1" x14ac:dyDescent="0.2">
      <c r="A82" s="80"/>
      <c r="B82" s="80"/>
      <c r="C82" s="92" t="str">
        <f t="shared" si="6"/>
        <v/>
      </c>
      <c r="D82" s="80"/>
      <c r="E82" s="80"/>
    </row>
    <row r="83" spans="1:7" ht="20.100000000000001" customHeight="1" x14ac:dyDescent="0.2">
      <c r="A83" s="80"/>
      <c r="B83" s="80"/>
      <c r="C83" s="92" t="str">
        <f t="shared" si="6"/>
        <v/>
      </c>
      <c r="D83" s="80"/>
      <c r="E83" s="80"/>
    </row>
    <row r="84" spans="1:7" ht="20.25" thickBot="1" x14ac:dyDescent="0.25">
      <c r="A84" s="268" t="s">
        <v>26</v>
      </c>
      <c r="B84" s="269"/>
      <c r="C84" s="269"/>
      <c r="D84" s="269"/>
      <c r="G84" s="100" t="s">
        <v>187</v>
      </c>
    </row>
    <row r="85" spans="1:7" ht="20.25" thickBot="1" x14ac:dyDescent="0.25">
      <c r="A85" s="93" t="s">
        <v>180</v>
      </c>
      <c r="B85" s="94" t="s">
        <v>81</v>
      </c>
      <c r="C85" s="95" t="s">
        <v>186</v>
      </c>
      <c r="D85" s="95" t="s">
        <v>194</v>
      </c>
      <c r="E85" s="77" t="s">
        <v>181</v>
      </c>
      <c r="G85" s="101">
        <f>SMALL(Tableau919[BRUT],1)</f>
        <v>75</v>
      </c>
    </row>
    <row r="86" spans="1:7" ht="19.5" x14ac:dyDescent="0.2">
      <c r="A86" s="154" t="s">
        <v>143</v>
      </c>
      <c r="B86" s="154" t="s">
        <v>144</v>
      </c>
      <c r="C86" s="92" t="str">
        <f t="shared" si="6"/>
        <v>ChristianeBOURNAT</v>
      </c>
      <c r="D86" s="105" t="s">
        <v>193</v>
      </c>
      <c r="E86" s="77">
        <v>82</v>
      </c>
      <c r="G86" s="101">
        <f>SMALL(Tableau919[BRUT],2)</f>
        <v>82</v>
      </c>
    </row>
    <row r="87" spans="1:7" ht="19.5" x14ac:dyDescent="0.2">
      <c r="A87" s="154" t="s">
        <v>232</v>
      </c>
      <c r="B87" s="154" t="s">
        <v>55</v>
      </c>
      <c r="C87" s="92" t="str">
        <f t="shared" si="6"/>
        <v>ChristineGUILLOT</v>
      </c>
      <c r="D87" s="105" t="s">
        <v>193</v>
      </c>
      <c r="E87" s="77">
        <v>83</v>
      </c>
      <c r="G87" s="101">
        <f>SMALL(Tableau919[BRUT],3)</f>
        <v>83</v>
      </c>
    </row>
    <row r="88" spans="1:7" ht="19.5" x14ac:dyDescent="0.2">
      <c r="A88" s="154" t="s">
        <v>177</v>
      </c>
      <c r="B88" s="154" t="s">
        <v>178</v>
      </c>
      <c r="C88" s="92" t="str">
        <f t="shared" si="6"/>
        <v>BénédicteTAILLADE</v>
      </c>
      <c r="D88" s="105" t="s">
        <v>193</v>
      </c>
      <c r="E88" s="77">
        <v>75</v>
      </c>
    </row>
    <row r="89" spans="1:7" ht="19.5" x14ac:dyDescent="0.2">
      <c r="A89" s="154" t="s">
        <v>185</v>
      </c>
      <c r="B89" s="154" t="s">
        <v>115</v>
      </c>
      <c r="C89" s="92" t="str">
        <f t="shared" si="6"/>
        <v>OdileVIDAL</v>
      </c>
      <c r="D89" s="105" t="s">
        <v>193</v>
      </c>
      <c r="E89" s="77">
        <v>88</v>
      </c>
    </row>
  </sheetData>
  <mergeCells count="12">
    <mergeCell ref="A84:D84"/>
    <mergeCell ref="A1:I1"/>
    <mergeCell ref="A3:D3"/>
    <mergeCell ref="J5:K5"/>
    <mergeCell ref="J10:K10"/>
    <mergeCell ref="A16:D16"/>
    <mergeCell ref="J16:K16"/>
    <mergeCell ref="J19:K19"/>
    <mergeCell ref="A34:D34"/>
    <mergeCell ref="A41:D41"/>
    <mergeCell ref="A63:D63"/>
    <mergeCell ref="A77:D77"/>
  </mergeCells>
  <dataValidations count="1">
    <dataValidation type="list" allowBlank="1" showInputMessage="1" showErrorMessage="1" sqref="A43:B51 J8:K8 J20 A53:A60 B52" xr:uid="{00000000-0002-0000-0300-000000000000}">
      <formula1>NOM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U78"/>
  <sheetViews>
    <sheetView topLeftCell="A33" workbookViewId="0">
      <selection activeCell="A8" sqref="A8:B8"/>
    </sheetView>
  </sheetViews>
  <sheetFormatPr baseColWidth="10" defaultRowHeight="12.75" x14ac:dyDescent="0.2"/>
  <cols>
    <col min="1" max="1" width="30.140625" bestFit="1" customWidth="1"/>
    <col min="2" max="2" width="19.140625" customWidth="1"/>
    <col min="3" max="3" width="13.140625" hidden="1" customWidth="1"/>
    <col min="4" max="4" width="4.7109375" customWidth="1"/>
    <col min="5" max="5" width="8.42578125" customWidth="1"/>
    <col min="6" max="6" width="8.7109375" customWidth="1"/>
    <col min="7" max="7" width="14.28515625" bestFit="1" customWidth="1"/>
    <col min="8" max="8" width="3" customWidth="1"/>
    <col min="9" max="9" width="3.7109375" customWidth="1"/>
    <col min="10" max="10" width="21.140625" customWidth="1"/>
    <col min="11" max="11" width="18" customWidth="1"/>
    <col min="12" max="12" width="15.28515625" customWidth="1"/>
    <col min="13" max="13" width="13" bestFit="1" customWidth="1"/>
    <col min="14" max="14" width="11" customWidth="1"/>
    <col min="15" max="15" width="12.85546875" hidden="1" customWidth="1"/>
    <col min="16" max="16" width="8.140625" hidden="1" customWidth="1"/>
    <col min="17" max="17" width="6.85546875" hidden="1" customWidth="1"/>
    <col min="18" max="18" width="4.85546875" customWidth="1"/>
    <col min="19" max="19" width="30.42578125" bestFit="1" customWidth="1"/>
    <col min="20" max="20" width="9.42578125" bestFit="1" customWidth="1"/>
    <col min="21" max="21" width="13" bestFit="1" customWidth="1"/>
  </cols>
  <sheetData>
    <row r="1" spans="1:21" ht="67.7" customHeight="1" thickBot="1" x14ac:dyDescent="0.25">
      <c r="A1" s="261" t="s">
        <v>207</v>
      </c>
      <c r="B1" s="262"/>
      <c r="C1" s="262"/>
      <c r="D1" s="262"/>
      <c r="E1" s="262"/>
      <c r="F1" s="262"/>
      <c r="G1" s="262"/>
      <c r="H1" s="262"/>
      <c r="I1" s="263"/>
    </row>
    <row r="3" spans="1:21" ht="20.25" thickBot="1" x14ac:dyDescent="0.25">
      <c r="A3" s="270" t="s">
        <v>13</v>
      </c>
      <c r="B3" s="271"/>
      <c r="C3" s="271"/>
      <c r="D3" s="271"/>
    </row>
    <row r="4" spans="1:21" ht="20.100000000000001" customHeight="1" thickBot="1" x14ac:dyDescent="0.25">
      <c r="A4" s="93" t="s">
        <v>180</v>
      </c>
      <c r="B4" s="94" t="s">
        <v>81</v>
      </c>
      <c r="C4" s="95" t="s">
        <v>186</v>
      </c>
      <c r="D4" s="95" t="s">
        <v>194</v>
      </c>
      <c r="E4" s="77" t="s">
        <v>181</v>
      </c>
      <c r="G4" s="100" t="s">
        <v>187</v>
      </c>
    </row>
    <row r="5" spans="1:21" ht="20.100000000000001" customHeight="1" x14ac:dyDescent="0.2">
      <c r="A5" s="132" t="s">
        <v>146</v>
      </c>
      <c r="B5" s="133" t="s">
        <v>106</v>
      </c>
      <c r="C5" s="92" t="str">
        <f>TRIM(CONCATENATE(B5,A5))</f>
        <v>Jean ClaudeCLUZEL</v>
      </c>
      <c r="D5" s="105" t="s">
        <v>192</v>
      </c>
      <c r="E5" s="77">
        <v>59</v>
      </c>
      <c r="G5" s="101">
        <f>SMALL(Tableau31321[BRUT],1)</f>
        <v>55</v>
      </c>
      <c r="J5" s="264" t="s">
        <v>189</v>
      </c>
      <c r="K5" s="265"/>
      <c r="L5" s="125" t="s">
        <v>190</v>
      </c>
      <c r="M5" s="103" t="s">
        <v>191</v>
      </c>
    </row>
    <row r="6" spans="1:21" ht="20.100000000000001" customHeight="1" x14ac:dyDescent="0.2">
      <c r="A6" s="132" t="s">
        <v>11</v>
      </c>
      <c r="B6" s="133" t="s">
        <v>12</v>
      </c>
      <c r="C6" s="92" t="str">
        <f t="shared" ref="C6:C12" si="0">TRIM(CONCATENATE(B6,A6))</f>
        <v>AlainJEANDREAU</v>
      </c>
      <c r="D6" s="105" t="s">
        <v>192</v>
      </c>
      <c r="E6" s="77">
        <v>55</v>
      </c>
      <c r="G6" s="101">
        <f>SMALL(Tableau31321[BRUT],2)</f>
        <v>59</v>
      </c>
      <c r="J6" s="107" t="str">
        <f t="array" ref="J6">IFERROR(INDEX(A$5:A$101, MATCH(1, (D$5:D$101="F")*(E$5:E$101=L6)*(COUNTIF(J$5:J5,A$5:A$101)=0), 0)),"")</f>
        <v>DOMY</v>
      </c>
      <c r="K6" s="107" t="str">
        <f t="array" ref="K6">IFERROR(INDEX(B$5:B$101, MATCH(1, (D$5:D$101="F")*(E$5:E$101=L6)*(COUNTIF(L$5:L5,E$5:E$101)=0), 0)),"")</f>
        <v>Monique</v>
      </c>
      <c r="L6" s="126">
        <f t="array" ref="L6">IFERROR(SMALL(IF(D$6:D$101="F",E$6:E$101), ROW(A1)),"")</f>
        <v>62</v>
      </c>
      <c r="M6" s="104">
        <v>1</v>
      </c>
      <c r="O6" s="120" t="s">
        <v>201</v>
      </c>
      <c r="P6" s="121" t="s">
        <v>202</v>
      </c>
      <c r="Q6" s="122" t="s">
        <v>191</v>
      </c>
      <c r="S6" s="116" t="s">
        <v>201</v>
      </c>
      <c r="T6" s="128" t="s">
        <v>202</v>
      </c>
      <c r="U6" s="118" t="s">
        <v>191</v>
      </c>
    </row>
    <row r="7" spans="1:21" ht="20.100000000000001" customHeight="1" x14ac:dyDescent="0.2">
      <c r="A7" s="132" t="s">
        <v>182</v>
      </c>
      <c r="B7" s="133" t="s">
        <v>183</v>
      </c>
      <c r="C7" s="92" t="str">
        <f t="shared" si="0"/>
        <v>RolandJUHLIEN</v>
      </c>
      <c r="D7" s="105" t="s">
        <v>192</v>
      </c>
      <c r="E7" s="77">
        <v>65</v>
      </c>
      <c r="G7" s="101">
        <f>SMALL(Tableau31321[BRUT],3)</f>
        <v>59</v>
      </c>
      <c r="J7" s="108" t="str">
        <f t="array" ref="J7">IFERROR(INDEX(A$6:A$101, MATCH(1, (D$6:D$101="F")*(E$6:E$101=L7)*(COUNTIF(J$5:J6,A$6:A$101)=0), 0)),"")</f>
        <v>LAFARGE</v>
      </c>
      <c r="K7" s="108" t="str">
        <f t="array" ref="K7">IFERROR(INDEX(B$6:B$101, MATCH(1, (D$6:D$101="F")*(E$6:E$101=L7)*(COUNTIF(K$5:K6,B$6:B$101)=0), 0)),"")</f>
        <v>Catherine</v>
      </c>
      <c r="L7" s="126">
        <f t="array" ref="L7">IFERROR(SMALL(IF((D$5:D$101="F")*(COUNTIF(L$5:L5,E$5:E$101)=0), E$5:E$101), ROW(A2)),"")</f>
        <v>63</v>
      </c>
      <c r="M7" s="104">
        <v>2</v>
      </c>
      <c r="O7" s="119" t="str">
        <f>A3</f>
        <v>RIOM</v>
      </c>
      <c r="P7" s="114">
        <f>SUM(G5:G7)</f>
        <v>173</v>
      </c>
      <c r="Q7" s="104">
        <f>RANK(P7, P$7:P$13, 1) + COUNTIF(P$7:P7, P7) - 1</f>
        <v>2</v>
      </c>
      <c r="S7" s="117" t="str">
        <f>INDEX(O$7:O$13, MATCH(ROW(A1), Q$7:Q$13, 0))</f>
        <v>MAURIAC</v>
      </c>
      <c r="T7" s="129">
        <f>INDEX(P$7:P$13, MATCH(ROW(A1), Q$7:Q$13, 0))</f>
        <v>163</v>
      </c>
      <c r="U7" s="104">
        <f>ROW(A1)</f>
        <v>1</v>
      </c>
    </row>
    <row r="8" spans="1:21" ht="20.100000000000001" customHeight="1" x14ac:dyDescent="0.2">
      <c r="A8" s="132" t="s">
        <v>35</v>
      </c>
      <c r="B8" s="132" t="s">
        <v>249</v>
      </c>
      <c r="C8" s="92" t="str">
        <f t="shared" si="0"/>
        <v>JoëlleKUCHCIK</v>
      </c>
      <c r="D8" s="105" t="s">
        <v>193</v>
      </c>
      <c r="E8" s="77">
        <v>79</v>
      </c>
      <c r="O8" s="119" t="str">
        <f>A13</f>
        <v>GAZELEC CLERMONT</v>
      </c>
      <c r="P8" s="114">
        <f>SUM(G15:G17)</f>
        <v>180</v>
      </c>
      <c r="Q8" s="104">
        <f>RANK(P8, P$7:P$13, 1) + COUNTIF(P$7:P8, P8) - 1</f>
        <v>3</v>
      </c>
      <c r="S8" s="117" t="str">
        <f t="shared" ref="S8:S13" si="1">INDEX(O$7:O$13, MATCH(ROW(A2), Q$7:Q$13, 0))</f>
        <v>RIOM</v>
      </c>
      <c r="T8" s="129">
        <f t="shared" ref="T8:T13" si="2">INDEX(P$7:P$13, MATCH(ROW(A2), Q$7:Q$13, 0))</f>
        <v>173</v>
      </c>
      <c r="U8" s="104">
        <f t="shared" ref="U8:U13" si="3">ROW(A2)</f>
        <v>2</v>
      </c>
    </row>
    <row r="9" spans="1:21" ht="20.100000000000001" customHeight="1" x14ac:dyDescent="0.2">
      <c r="A9" s="132" t="s">
        <v>51</v>
      </c>
      <c r="B9" s="133" t="s">
        <v>44</v>
      </c>
      <c r="C9" s="92" t="str">
        <f t="shared" si="0"/>
        <v>JackyMACHAJ</v>
      </c>
      <c r="D9" s="105" t="s">
        <v>192</v>
      </c>
      <c r="E9" s="77">
        <v>64</v>
      </c>
      <c r="O9" s="119" t="str">
        <f>A26</f>
        <v>GAZELEC MOULINS/VICHY</v>
      </c>
      <c r="P9" s="114">
        <f>SUM(G28:G30)</f>
        <v>270</v>
      </c>
      <c r="Q9" s="104">
        <f>RANK(P9, P$7:P$13, 1) + COUNTIF(P$7:P9, P9) - 1</f>
        <v>7</v>
      </c>
      <c r="S9" s="117" t="str">
        <f t="shared" si="1"/>
        <v>GAZELEC CLERMONT</v>
      </c>
      <c r="T9" s="129">
        <f t="shared" si="2"/>
        <v>180</v>
      </c>
      <c r="U9" s="104">
        <f t="shared" si="3"/>
        <v>3</v>
      </c>
    </row>
    <row r="10" spans="1:21" ht="20.100000000000001" customHeight="1" x14ac:dyDescent="0.2">
      <c r="A10" s="132" t="s">
        <v>49</v>
      </c>
      <c r="B10" s="133" t="s">
        <v>50</v>
      </c>
      <c r="C10" s="92" t="str">
        <f t="shared" si="0"/>
        <v>ChristianMOULIN</v>
      </c>
      <c r="D10" s="105" t="s">
        <v>192</v>
      </c>
      <c r="E10" s="77">
        <v>59</v>
      </c>
      <c r="J10" s="264" t="s">
        <v>195</v>
      </c>
      <c r="K10" s="265"/>
      <c r="L10" s="125" t="s">
        <v>190</v>
      </c>
      <c r="M10" s="103" t="s">
        <v>191</v>
      </c>
      <c r="O10" s="119" t="str">
        <f>A34</f>
        <v>VAL D'AUZON</v>
      </c>
      <c r="P10" s="114">
        <f>SUM(G36:G38)</f>
        <v>181</v>
      </c>
      <c r="Q10" s="104">
        <f>RANK(P10, P$7:P$13, 1) + COUNTIF(P$7:P10, P10) - 1</f>
        <v>4</v>
      </c>
      <c r="S10" s="117" t="str">
        <f t="shared" si="1"/>
        <v>VAL D'AUZON</v>
      </c>
      <c r="T10" s="129">
        <f t="shared" si="2"/>
        <v>181</v>
      </c>
      <c r="U10" s="104">
        <f t="shared" si="3"/>
        <v>4</v>
      </c>
    </row>
    <row r="11" spans="1:21" ht="20.100000000000001" customHeight="1" x14ac:dyDescent="0.2">
      <c r="A11" s="80"/>
      <c r="B11" s="80"/>
      <c r="C11" s="92" t="str">
        <f t="shared" si="0"/>
        <v/>
      </c>
      <c r="D11" s="80"/>
      <c r="E11" s="80"/>
      <c r="J11" s="109" t="str">
        <f t="array" ref="J11">IFERROR(INDEX(A$5:A$101, MATCH(1, (D$5:D$101="M")*(E$5:E$101=L11)*(COUNTIF(J$10:J10,A$5:A$101)=0), 0)),"")</f>
        <v>BENAZECH</v>
      </c>
      <c r="K11" s="109" t="str">
        <f t="array" ref="K11">IFERROR(INDEX(B$5:B$101, MATCH(1, (D$5:D$101="M")*(E$5:E$101=L11)*(COUNTIF(L$10:L10,E$5:E$101)=0), 0)),"")</f>
        <v>Didier</v>
      </c>
      <c r="L11" s="127">
        <f t="array" ref="L11">IFERROR(SMALL(IF(D$5:D$101="M",E$5:E$101), ROW(A1)),"")</f>
        <v>54</v>
      </c>
      <c r="M11" s="106">
        <v>1</v>
      </c>
      <c r="O11" s="119" t="str">
        <f>A48</f>
        <v>CHARADE</v>
      </c>
      <c r="P11" s="114">
        <f>SUM(G50:G52)</f>
        <v>184</v>
      </c>
      <c r="Q11" s="104">
        <f>RANK(P11, P$7:P$13, 1) + COUNTIF(P$7:P11, P11) - 1</f>
        <v>5</v>
      </c>
      <c r="S11" s="117" t="str">
        <f t="shared" si="1"/>
        <v>CHARADE</v>
      </c>
      <c r="T11" s="129">
        <f t="shared" si="2"/>
        <v>184</v>
      </c>
      <c r="U11" s="104">
        <f t="shared" si="3"/>
        <v>5</v>
      </c>
    </row>
    <row r="12" spans="1:21" ht="20.100000000000001" customHeight="1" x14ac:dyDescent="0.2">
      <c r="A12" s="80"/>
      <c r="B12" s="80"/>
      <c r="C12" s="92" t="str">
        <f t="shared" si="0"/>
        <v/>
      </c>
      <c r="D12" s="80"/>
      <c r="E12" s="80"/>
      <c r="J12" s="109" t="str">
        <f t="array" ref="J12">IFERROR(INDEX(A$5:A$101, MATCH(1, (D$5:D$101="M")*(E$5:E$101=L12)*(COUNTIF(J$10:J11,A$5:A$101)=0), 0)),"")</f>
        <v>JACQUEMOT</v>
      </c>
      <c r="K12" s="109" t="str">
        <f t="array" ref="K12">IFERROR(INDEX(B$5:B$101, MATCH(1, (D$5:D$101="M")*(E$5:E$101=L12)*(COUNTIF(K$10:K11,B$5:B$101)=0), 0)),"")</f>
        <v>Thierry</v>
      </c>
      <c r="L12" s="127">
        <f t="array" ref="L12">IFERROR(SMALL(IF(D$5:D$101="M",E$5:E$101), ROW(A2)),"")</f>
        <v>54</v>
      </c>
      <c r="M12" s="106">
        <v>2</v>
      </c>
      <c r="O12" s="119" t="str">
        <f>A61</f>
        <v>MAURIAC</v>
      </c>
      <c r="P12" s="114">
        <f>SUM(G63:G65)</f>
        <v>163</v>
      </c>
      <c r="Q12" s="104">
        <f>RANK(P12, P$7:P$13, 1) + COUNTIF(P$7:P12, P12) - 1</f>
        <v>1</v>
      </c>
      <c r="S12" s="117" t="str">
        <f t="shared" si="1"/>
        <v>MONTPENSIER</v>
      </c>
      <c r="T12" s="129">
        <f t="shared" si="2"/>
        <v>222</v>
      </c>
      <c r="U12" s="104">
        <f t="shared" si="3"/>
        <v>6</v>
      </c>
    </row>
    <row r="13" spans="1:21" ht="20.100000000000001" customHeight="1" x14ac:dyDescent="0.2">
      <c r="A13" s="272" t="s">
        <v>130</v>
      </c>
      <c r="B13" s="273"/>
      <c r="C13" s="273"/>
      <c r="D13" s="273"/>
      <c r="J13" s="109" t="str">
        <f t="array" ref="J13">IFERROR(INDEX(A$5:A$101, MATCH(1, (D$5:D$101="M")*(E$5:E$101=L13)*(COUNTIF(J$10:J12,A$5:A$101)=0), 0)),"")</f>
        <v>JEANDREAU</v>
      </c>
      <c r="K13" s="109" t="str">
        <f t="array" ref="K13">IFERROR(INDEX(B$6:B$101, MATCH(1, (D$6:D$101="M")*(E$6:E$101=L13)*(COUNTIF(K$10:K12,B$6:B$101)=0), 0)),"")</f>
        <v>Alain</v>
      </c>
      <c r="L13" s="127">
        <f t="array" ref="L13">IFERROR(SMALL(IF(D$5:D$101="M",E$5:E$101), ROW(A3)),"")</f>
        <v>55</v>
      </c>
      <c r="M13" s="106">
        <v>3</v>
      </c>
      <c r="O13" s="123" t="str">
        <f>A74</f>
        <v>MONTPENSIER</v>
      </c>
      <c r="P13" s="124">
        <f>SUM(G75:G77)</f>
        <v>222</v>
      </c>
      <c r="Q13" s="104">
        <f>RANK(P13, P$7:P$13, 1) + COUNTIF(P$7:P13, P13) - 1</f>
        <v>6</v>
      </c>
      <c r="S13" s="117" t="str">
        <f t="shared" si="1"/>
        <v>GAZELEC MOULINS/VICHY</v>
      </c>
      <c r="T13" s="129">
        <f t="shared" si="2"/>
        <v>270</v>
      </c>
      <c r="U13" s="104">
        <f t="shared" si="3"/>
        <v>7</v>
      </c>
    </row>
    <row r="14" spans="1:21" ht="20.100000000000001" customHeight="1" thickBot="1" x14ac:dyDescent="0.25">
      <c r="A14" s="93" t="s">
        <v>180</v>
      </c>
      <c r="B14" s="94" t="s">
        <v>81</v>
      </c>
      <c r="C14" s="95" t="s">
        <v>186</v>
      </c>
      <c r="D14" s="95" t="s">
        <v>194</v>
      </c>
      <c r="E14" s="77" t="s">
        <v>181</v>
      </c>
      <c r="G14" s="100" t="s">
        <v>187</v>
      </c>
    </row>
    <row r="15" spans="1:21" ht="20.100000000000001" customHeight="1" x14ac:dyDescent="0.2">
      <c r="A15" s="135" t="s">
        <v>134</v>
      </c>
      <c r="B15" s="135" t="s">
        <v>135</v>
      </c>
      <c r="C15" s="92" t="str">
        <f t="shared" ref="C15:C78" si="4">TRIM(CONCATENATE(B15,A15))</f>
        <v>OdetteBRUN</v>
      </c>
      <c r="D15" s="105" t="s">
        <v>193</v>
      </c>
      <c r="E15" s="77">
        <v>71</v>
      </c>
      <c r="G15" s="101">
        <f>SMALL(Tableau41422[BRUT],1)</f>
        <v>58</v>
      </c>
    </row>
    <row r="16" spans="1:21" ht="20.100000000000001" customHeight="1" x14ac:dyDescent="0.2">
      <c r="A16" s="135" t="s">
        <v>20</v>
      </c>
      <c r="B16" s="136" t="s">
        <v>250</v>
      </c>
      <c r="C16" s="92" t="str">
        <f t="shared" si="4"/>
        <v>Gérard CAMBET</v>
      </c>
      <c r="D16" s="105" t="s">
        <v>192</v>
      </c>
      <c r="E16" s="77">
        <v>58</v>
      </c>
      <c r="G16" s="101">
        <f>SMALL(Tableau41422[BRUT],2)</f>
        <v>58</v>
      </c>
      <c r="J16" s="266" t="s">
        <v>196</v>
      </c>
      <c r="K16" s="267"/>
      <c r="L16" s="102" t="s">
        <v>197</v>
      </c>
      <c r="M16" s="110" t="s">
        <v>262</v>
      </c>
    </row>
    <row r="17" spans="1:13" ht="20.100000000000001" customHeight="1" x14ac:dyDescent="0.2">
      <c r="A17" s="135" t="s">
        <v>169</v>
      </c>
      <c r="B17" s="136" t="s">
        <v>39</v>
      </c>
      <c r="C17" s="92" t="str">
        <f t="shared" ref="C17:C23" si="5">TRIM(CONCATENATE(B17,A17))</f>
        <v>SergeFONTANON</v>
      </c>
      <c r="D17" s="105" t="s">
        <v>192</v>
      </c>
      <c r="E17" s="77">
        <v>64</v>
      </c>
      <c r="G17" s="101">
        <f>SMALL(Tableau41422[BRUT],3)</f>
        <v>64</v>
      </c>
      <c r="J17" s="107" t="s">
        <v>267</v>
      </c>
      <c r="K17" s="107" t="s">
        <v>74</v>
      </c>
      <c r="L17" s="111">
        <v>4</v>
      </c>
      <c r="M17" s="80"/>
    </row>
    <row r="18" spans="1:13" ht="20.100000000000001" customHeight="1" x14ac:dyDescent="0.2">
      <c r="A18" s="135" t="s">
        <v>92</v>
      </c>
      <c r="B18" s="136" t="s">
        <v>52</v>
      </c>
      <c r="C18" s="180" t="str">
        <f t="shared" si="5"/>
        <v>GillesFROMAGE</v>
      </c>
      <c r="D18" s="105" t="s">
        <v>192</v>
      </c>
      <c r="E18" s="181">
        <v>69</v>
      </c>
    </row>
    <row r="19" spans="1:13" ht="20.100000000000001" customHeight="1" x14ac:dyDescent="0.2">
      <c r="A19" s="135" t="s">
        <v>93</v>
      </c>
      <c r="B19" s="136" t="s">
        <v>58</v>
      </c>
      <c r="C19" s="180" t="str">
        <f t="shared" si="5"/>
        <v>AnnieSIOC HAN</v>
      </c>
      <c r="D19" s="105" t="s">
        <v>193</v>
      </c>
      <c r="E19" s="181">
        <v>67</v>
      </c>
      <c r="J19" s="266" t="s">
        <v>200</v>
      </c>
      <c r="K19" s="267"/>
      <c r="L19" s="102" t="s">
        <v>197</v>
      </c>
      <c r="M19" s="113" t="s">
        <v>262</v>
      </c>
    </row>
    <row r="20" spans="1:13" ht="20.100000000000001" customHeight="1" x14ac:dyDescent="0.2">
      <c r="A20" s="135" t="s">
        <v>93</v>
      </c>
      <c r="B20" s="136" t="s">
        <v>47</v>
      </c>
      <c r="C20" s="180" t="str">
        <f t="shared" si="5"/>
        <v>PhilippeSIOC HAN</v>
      </c>
      <c r="D20" s="105" t="s">
        <v>192</v>
      </c>
      <c r="E20" s="181">
        <v>71</v>
      </c>
      <c r="J20" s="109" t="s">
        <v>268</v>
      </c>
      <c r="K20" s="109" t="s">
        <v>269</v>
      </c>
      <c r="L20" s="114" t="s">
        <v>266</v>
      </c>
      <c r="M20" s="115"/>
    </row>
    <row r="21" spans="1:13" ht="20.100000000000001" customHeight="1" x14ac:dyDescent="0.2">
      <c r="A21" s="135" t="s">
        <v>67</v>
      </c>
      <c r="B21" s="136" t="s">
        <v>68</v>
      </c>
      <c r="C21" s="180" t="str">
        <f t="shared" si="5"/>
        <v>CorinneTIXIER</v>
      </c>
      <c r="D21" s="105" t="s">
        <v>193</v>
      </c>
      <c r="E21" s="181">
        <v>80</v>
      </c>
    </row>
    <row r="22" spans="1:13" ht="20.100000000000001" customHeight="1" x14ac:dyDescent="0.2">
      <c r="A22" s="135" t="s">
        <v>86</v>
      </c>
      <c r="B22" s="136" t="s">
        <v>52</v>
      </c>
      <c r="C22" s="180" t="str">
        <f t="shared" si="5"/>
        <v>GillesVESCOVI</v>
      </c>
      <c r="D22" s="105" t="s">
        <v>192</v>
      </c>
      <c r="E22" s="181">
        <v>58</v>
      </c>
    </row>
    <row r="23" spans="1:13" ht="20.100000000000001" customHeight="1" x14ac:dyDescent="0.2">
      <c r="A23" s="135" t="s">
        <v>86</v>
      </c>
      <c r="B23" s="136" t="s">
        <v>95</v>
      </c>
      <c r="C23" s="180" t="str">
        <f t="shared" si="5"/>
        <v>RégineVESCOVI</v>
      </c>
      <c r="D23" s="105" t="s">
        <v>193</v>
      </c>
      <c r="E23" s="181">
        <v>70</v>
      </c>
    </row>
    <row r="24" spans="1:13" ht="20.100000000000001" customHeight="1" x14ac:dyDescent="0.2">
      <c r="A24" s="80"/>
      <c r="B24" s="80"/>
      <c r="C24" s="92" t="str">
        <f t="shared" si="4"/>
        <v/>
      </c>
      <c r="D24" s="80"/>
      <c r="E24" s="80"/>
    </row>
    <row r="25" spans="1:13" ht="20.100000000000001" customHeight="1" x14ac:dyDescent="0.2">
      <c r="A25" s="80"/>
      <c r="B25" s="80"/>
      <c r="C25" s="92" t="str">
        <f t="shared" si="4"/>
        <v/>
      </c>
      <c r="D25" s="80"/>
      <c r="E25" s="80"/>
    </row>
    <row r="26" spans="1:13" ht="20.100000000000001" customHeight="1" x14ac:dyDescent="0.2">
      <c r="A26" s="274" t="s">
        <v>184</v>
      </c>
      <c r="B26" s="275"/>
      <c r="C26" s="275"/>
      <c r="D26" s="275"/>
    </row>
    <row r="27" spans="1:13" ht="20.100000000000001" customHeight="1" thickBot="1" x14ac:dyDescent="0.25">
      <c r="A27" s="93" t="s">
        <v>180</v>
      </c>
      <c r="B27" s="94" t="s">
        <v>81</v>
      </c>
      <c r="C27" s="95" t="s">
        <v>186</v>
      </c>
      <c r="D27" s="95" t="s">
        <v>194</v>
      </c>
      <c r="E27" s="77" t="s">
        <v>181</v>
      </c>
      <c r="G27" s="100" t="s">
        <v>187</v>
      </c>
    </row>
    <row r="28" spans="1:13" ht="20.100000000000001" customHeight="1" x14ac:dyDescent="0.2">
      <c r="A28" s="83"/>
      <c r="B28" s="192"/>
      <c r="C28" s="92" t="str">
        <f t="shared" si="4"/>
        <v/>
      </c>
      <c r="D28" s="105"/>
      <c r="E28" s="84">
        <v>90</v>
      </c>
      <c r="G28" s="101">
        <f>SMALL(Tableau51523[BRUT],1)</f>
        <v>90</v>
      </c>
    </row>
    <row r="29" spans="1:13" ht="20.100000000000001" customHeight="1" x14ac:dyDescent="0.2">
      <c r="A29" s="83"/>
      <c r="B29" s="192"/>
      <c r="C29" s="92" t="str">
        <f t="shared" si="4"/>
        <v/>
      </c>
      <c r="D29" s="105"/>
      <c r="E29" s="78">
        <v>90</v>
      </c>
      <c r="G29" s="101">
        <f>SMALL(Tableau51523[BRUT],2)</f>
        <v>90</v>
      </c>
    </row>
    <row r="30" spans="1:13" ht="20.100000000000001" customHeight="1" x14ac:dyDescent="0.2">
      <c r="A30" s="85"/>
      <c r="B30" s="192"/>
      <c r="C30" s="92" t="str">
        <f t="shared" si="4"/>
        <v/>
      </c>
      <c r="D30" s="105"/>
      <c r="E30" s="78">
        <v>90</v>
      </c>
      <c r="G30" s="101">
        <f>SMALL(Tableau51523[BRUT],3)</f>
        <v>90</v>
      </c>
    </row>
    <row r="31" spans="1:13" ht="20.100000000000001" customHeight="1" x14ac:dyDescent="0.2">
      <c r="A31" s="85"/>
      <c r="B31" s="192"/>
      <c r="C31" s="92" t="str">
        <f t="shared" si="4"/>
        <v/>
      </c>
      <c r="D31" s="105"/>
      <c r="E31" s="78">
        <v>90</v>
      </c>
    </row>
    <row r="32" spans="1:13" ht="20.100000000000001" customHeight="1" x14ac:dyDescent="0.2">
      <c r="A32" s="80"/>
      <c r="B32" s="80"/>
      <c r="C32" s="92" t="str">
        <f t="shared" si="4"/>
        <v/>
      </c>
      <c r="D32" s="80"/>
      <c r="E32" s="80"/>
    </row>
    <row r="33" spans="1:7" ht="20.100000000000001" customHeight="1" x14ac:dyDescent="0.2">
      <c r="A33" s="80"/>
      <c r="B33" s="80"/>
      <c r="C33" s="92" t="str">
        <f t="shared" si="4"/>
        <v/>
      </c>
      <c r="D33" s="80"/>
      <c r="E33" s="80"/>
    </row>
    <row r="34" spans="1:7" ht="20.100000000000001" customHeight="1" thickBot="1" x14ac:dyDescent="0.25">
      <c r="A34" s="276" t="s">
        <v>19</v>
      </c>
      <c r="B34" s="277"/>
      <c r="C34" s="277"/>
      <c r="D34" s="277"/>
    </row>
    <row r="35" spans="1:7" ht="20.100000000000001" customHeight="1" thickBot="1" x14ac:dyDescent="0.25">
      <c r="A35" s="93" t="s">
        <v>180</v>
      </c>
      <c r="B35" s="94" t="s">
        <v>81</v>
      </c>
      <c r="C35" s="95" t="s">
        <v>186</v>
      </c>
      <c r="D35" s="95" t="s">
        <v>194</v>
      </c>
      <c r="E35" s="77" t="s">
        <v>181</v>
      </c>
      <c r="G35" s="100" t="s">
        <v>187</v>
      </c>
    </row>
    <row r="36" spans="1:7" ht="20.100000000000001" customHeight="1" x14ac:dyDescent="0.2">
      <c r="A36" s="200" t="s">
        <v>254</v>
      </c>
      <c r="B36" s="201" t="s">
        <v>25</v>
      </c>
      <c r="C36" s="92" t="str">
        <f t="shared" si="4"/>
        <v>JacquesANAVOISARD</v>
      </c>
      <c r="D36" s="105" t="s">
        <v>192</v>
      </c>
      <c r="E36" s="77">
        <v>70</v>
      </c>
      <c r="G36" s="101">
        <f>SMALL(Tableau61624[BRUT],1)</f>
        <v>59</v>
      </c>
    </row>
    <row r="37" spans="1:7" ht="20.100000000000001" customHeight="1" x14ac:dyDescent="0.2">
      <c r="A37" s="200" t="s">
        <v>96</v>
      </c>
      <c r="B37" s="200" t="s">
        <v>256</v>
      </c>
      <c r="C37" s="92" t="str">
        <f t="shared" si="4"/>
        <v>MichelleCIBERT GOTHON</v>
      </c>
      <c r="D37" s="105" t="s">
        <v>193</v>
      </c>
      <c r="E37" s="77">
        <v>70</v>
      </c>
      <c r="G37" s="101">
        <f>SMALL(Tableau61624[BRUT],2)</f>
        <v>60</v>
      </c>
    </row>
    <row r="38" spans="1:7" ht="20.100000000000001" customHeight="1" x14ac:dyDescent="0.2">
      <c r="A38" s="200" t="s">
        <v>264</v>
      </c>
      <c r="B38" s="201" t="s">
        <v>39</v>
      </c>
      <c r="C38" s="92" t="str">
        <f t="shared" si="4"/>
        <v>SergeCOUTAREL</v>
      </c>
      <c r="D38" s="105" t="s">
        <v>192</v>
      </c>
      <c r="E38" s="77">
        <v>73</v>
      </c>
      <c r="G38" s="101">
        <f>SMALL(Tableau61624[BRUT],3)</f>
        <v>62</v>
      </c>
    </row>
    <row r="39" spans="1:7" ht="20.100000000000001" customHeight="1" x14ac:dyDescent="0.2">
      <c r="A39" s="200" t="s">
        <v>69</v>
      </c>
      <c r="B39" s="201" t="s">
        <v>255</v>
      </c>
      <c r="C39" s="92" t="str">
        <f t="shared" si="4"/>
        <v>PhilippeCUVIER</v>
      </c>
      <c r="D39" s="105" t="s">
        <v>192</v>
      </c>
      <c r="E39" s="77">
        <v>60</v>
      </c>
    </row>
    <row r="40" spans="1:7" ht="20.100000000000001" customHeight="1" x14ac:dyDescent="0.2">
      <c r="A40" s="200" t="s">
        <v>75</v>
      </c>
      <c r="B40" s="201" t="s">
        <v>257</v>
      </c>
      <c r="C40" s="92" t="str">
        <f t="shared" si="4"/>
        <v>Jean-MichelFAURIE</v>
      </c>
      <c r="D40" s="105" t="s">
        <v>192</v>
      </c>
      <c r="E40" s="77">
        <v>62</v>
      </c>
    </row>
    <row r="41" spans="1:7" ht="20.100000000000001" customHeight="1" x14ac:dyDescent="0.2">
      <c r="A41" s="200" t="s">
        <v>70</v>
      </c>
      <c r="B41" s="201" t="s">
        <v>259</v>
      </c>
      <c r="C41" s="92" t="str">
        <f t="shared" si="4"/>
        <v>ClaudeMERCIER</v>
      </c>
      <c r="D41" s="105" t="s">
        <v>192</v>
      </c>
      <c r="E41" s="77">
        <v>65</v>
      </c>
    </row>
    <row r="42" spans="1:7" ht="20.100000000000001" customHeight="1" x14ac:dyDescent="0.2">
      <c r="A42" s="200" t="s">
        <v>260</v>
      </c>
      <c r="B42" s="201" t="s">
        <v>261</v>
      </c>
      <c r="C42" s="92" t="str">
        <f t="shared" si="4"/>
        <v>JacquesMINARD</v>
      </c>
      <c r="D42" s="105" t="s">
        <v>192</v>
      </c>
      <c r="E42" s="77">
        <v>78</v>
      </c>
    </row>
    <row r="43" spans="1:7" ht="20.100000000000001" customHeight="1" x14ac:dyDescent="0.2">
      <c r="A43" s="200" t="s">
        <v>97</v>
      </c>
      <c r="B43" s="201" t="s">
        <v>258</v>
      </c>
      <c r="C43" s="92" t="str">
        <f t="shared" si="4"/>
        <v>Jean PierreMOUTREUX</v>
      </c>
      <c r="D43" s="105" t="s">
        <v>192</v>
      </c>
      <c r="E43" s="77">
        <v>67</v>
      </c>
    </row>
    <row r="44" spans="1:7" ht="20.100000000000001" customHeight="1" x14ac:dyDescent="0.2">
      <c r="A44" s="200" t="s">
        <v>48</v>
      </c>
      <c r="B44" s="201" t="s">
        <v>225</v>
      </c>
      <c r="C44" s="180" t="str">
        <f>TRIM(CONCATENATE(B44,A44))</f>
        <v>DanielVALLUY</v>
      </c>
      <c r="D44" s="105" t="s">
        <v>192</v>
      </c>
      <c r="E44" s="77">
        <v>65</v>
      </c>
    </row>
    <row r="45" spans="1:7" ht="20.100000000000001" customHeight="1" x14ac:dyDescent="0.2">
      <c r="A45" s="200" t="s">
        <v>30</v>
      </c>
      <c r="B45" s="201" t="s">
        <v>225</v>
      </c>
      <c r="C45" s="92" t="str">
        <f t="shared" si="4"/>
        <v>DanielVEDEL</v>
      </c>
      <c r="D45" s="105" t="s">
        <v>192</v>
      </c>
      <c r="E45" s="77">
        <v>59</v>
      </c>
    </row>
    <row r="46" spans="1:7" ht="20.100000000000001" customHeight="1" x14ac:dyDescent="0.2">
      <c r="A46" s="80"/>
      <c r="B46" s="80"/>
      <c r="C46" s="92" t="str">
        <f t="shared" si="4"/>
        <v/>
      </c>
      <c r="D46" s="80"/>
      <c r="E46" s="80"/>
    </row>
    <row r="47" spans="1:7" ht="20.100000000000001" customHeight="1" x14ac:dyDescent="0.2">
      <c r="A47" s="80"/>
      <c r="B47" s="80"/>
      <c r="C47" s="92" t="str">
        <f t="shared" si="4"/>
        <v/>
      </c>
      <c r="D47" s="80"/>
      <c r="E47" s="80"/>
    </row>
    <row r="48" spans="1:7" ht="20.100000000000001" customHeight="1" thickBot="1" x14ac:dyDescent="0.25">
      <c r="A48" s="278" t="s">
        <v>8</v>
      </c>
      <c r="B48" s="279"/>
      <c r="C48" s="279"/>
      <c r="D48" s="279"/>
    </row>
    <row r="49" spans="1:7" ht="20.100000000000001" customHeight="1" thickBot="1" x14ac:dyDescent="0.25">
      <c r="A49" s="93" t="s">
        <v>180</v>
      </c>
      <c r="B49" s="94" t="s">
        <v>81</v>
      </c>
      <c r="C49" s="95" t="s">
        <v>186</v>
      </c>
      <c r="D49" s="95" t="s">
        <v>194</v>
      </c>
      <c r="E49" s="77" t="s">
        <v>181</v>
      </c>
      <c r="G49" s="100" t="s">
        <v>187</v>
      </c>
    </row>
    <row r="50" spans="1:7" ht="20.100000000000001" customHeight="1" x14ac:dyDescent="0.2">
      <c r="A50" s="194" t="s">
        <v>6</v>
      </c>
      <c r="B50" s="195" t="s">
        <v>7</v>
      </c>
      <c r="C50" s="92" t="str">
        <f t="shared" si="4"/>
        <v>RobertBOURGIER</v>
      </c>
      <c r="D50" s="105" t="s">
        <v>192</v>
      </c>
      <c r="E50" s="77">
        <v>61</v>
      </c>
      <c r="G50" s="101">
        <f>SMALL(Tableau71725[BRUT],1)</f>
        <v>61</v>
      </c>
    </row>
    <row r="51" spans="1:7" ht="20.100000000000001" customHeight="1" x14ac:dyDescent="0.2">
      <c r="A51" s="194" t="s">
        <v>89</v>
      </c>
      <c r="B51" s="195" t="s">
        <v>90</v>
      </c>
      <c r="C51" s="92" t="str">
        <f t="shared" si="4"/>
        <v>GuyDE BREUVAND</v>
      </c>
      <c r="D51" s="105" t="s">
        <v>192</v>
      </c>
      <c r="E51" s="77">
        <v>70</v>
      </c>
      <c r="G51" s="101">
        <f>SMALL(Tableau71725[BRUT],2)</f>
        <v>61</v>
      </c>
    </row>
    <row r="52" spans="1:7" ht="20.100000000000001" customHeight="1" x14ac:dyDescent="0.2">
      <c r="A52" s="194" t="s">
        <v>109</v>
      </c>
      <c r="B52" s="195" t="s">
        <v>52</v>
      </c>
      <c r="C52" s="92" t="str">
        <f t="shared" si="4"/>
        <v>GillesJOSSIER</v>
      </c>
      <c r="D52" s="105" t="s">
        <v>192</v>
      </c>
      <c r="E52" s="77">
        <v>65</v>
      </c>
      <c r="G52" s="101">
        <f>SMALL(Tableau71725[BRUT],3)</f>
        <v>62</v>
      </c>
    </row>
    <row r="53" spans="1:7" ht="20.100000000000001" customHeight="1" x14ac:dyDescent="0.2">
      <c r="A53" s="194" t="s">
        <v>15</v>
      </c>
      <c r="B53" s="195" t="s">
        <v>16</v>
      </c>
      <c r="C53" s="92" t="str">
        <f t="shared" si="4"/>
        <v>JeanLOUBAT</v>
      </c>
      <c r="D53" s="105" t="s">
        <v>192</v>
      </c>
      <c r="E53" s="77">
        <v>62</v>
      </c>
    </row>
    <row r="54" spans="1:7" ht="20.100000000000001" customHeight="1" x14ac:dyDescent="0.2">
      <c r="A54" s="194" t="s">
        <v>15</v>
      </c>
      <c r="B54" s="194" t="s">
        <v>144</v>
      </c>
      <c r="C54" s="180" t="str">
        <f t="shared" ref="C54:C55" si="6">TRIM(CONCATENATE(B54,A54))</f>
        <v>ChristianeLOUBAT</v>
      </c>
      <c r="D54" s="105" t="s">
        <v>193</v>
      </c>
      <c r="E54" s="77">
        <v>80</v>
      </c>
    </row>
    <row r="55" spans="1:7" ht="20.100000000000001" customHeight="1" x14ac:dyDescent="0.2">
      <c r="A55" s="194" t="s">
        <v>84</v>
      </c>
      <c r="B55" s="194" t="s">
        <v>78</v>
      </c>
      <c r="C55" s="180" t="str">
        <f t="shared" si="6"/>
        <v>ElisabethMEYNIAL</v>
      </c>
      <c r="D55" s="105" t="s">
        <v>193</v>
      </c>
      <c r="E55" s="77">
        <v>69</v>
      </c>
    </row>
    <row r="56" spans="1:7" ht="20.100000000000001" customHeight="1" x14ac:dyDescent="0.2">
      <c r="A56" s="194" t="s">
        <v>38</v>
      </c>
      <c r="B56" s="194" t="s">
        <v>57</v>
      </c>
      <c r="C56" s="92" t="str">
        <f t="shared" si="4"/>
        <v>HuguettePERRIER</v>
      </c>
      <c r="D56" s="105" t="s">
        <v>193</v>
      </c>
      <c r="E56" s="77">
        <v>73</v>
      </c>
    </row>
    <row r="57" spans="1:7" ht="20.100000000000001" customHeight="1" x14ac:dyDescent="0.2">
      <c r="A57" s="194" t="s">
        <v>38</v>
      </c>
      <c r="B57" s="195" t="s">
        <v>39</v>
      </c>
      <c r="C57" s="92" t="str">
        <f t="shared" si="4"/>
        <v>SergePERRIER</v>
      </c>
      <c r="D57" s="105" t="s">
        <v>192</v>
      </c>
      <c r="E57" s="77">
        <v>62</v>
      </c>
    </row>
    <row r="58" spans="1:7" ht="20.100000000000001" customHeight="1" x14ac:dyDescent="0.2">
      <c r="A58" s="194" t="s">
        <v>133</v>
      </c>
      <c r="B58" s="195" t="s">
        <v>39</v>
      </c>
      <c r="C58" s="92" t="str">
        <f t="shared" si="4"/>
        <v>SergeROBERT</v>
      </c>
      <c r="D58" s="105" t="s">
        <v>192</v>
      </c>
      <c r="E58" s="77">
        <v>61</v>
      </c>
    </row>
    <row r="59" spans="1:7" ht="20.100000000000001" customHeight="1" x14ac:dyDescent="0.2">
      <c r="A59" s="80"/>
      <c r="B59" s="80"/>
      <c r="C59" s="92" t="str">
        <f t="shared" si="4"/>
        <v/>
      </c>
      <c r="D59" s="80"/>
      <c r="E59" s="89"/>
    </row>
    <row r="60" spans="1:7" ht="20.100000000000001" customHeight="1" x14ac:dyDescent="0.2">
      <c r="A60" s="80"/>
      <c r="B60" s="80"/>
      <c r="C60" s="92" t="str">
        <f t="shared" si="4"/>
        <v/>
      </c>
      <c r="D60" s="80"/>
      <c r="E60" s="80"/>
    </row>
    <row r="61" spans="1:7" ht="20.100000000000001" customHeight="1" thickBot="1" x14ac:dyDescent="0.25">
      <c r="A61" s="280" t="s">
        <v>74</v>
      </c>
      <c r="B61" s="281"/>
      <c r="C61" s="281"/>
      <c r="D61" s="281"/>
    </row>
    <row r="62" spans="1:7" ht="20.100000000000001" customHeight="1" thickBot="1" x14ac:dyDescent="0.25">
      <c r="A62" s="99" t="s">
        <v>180</v>
      </c>
      <c r="B62" s="94" t="s">
        <v>81</v>
      </c>
      <c r="C62" s="95" t="s">
        <v>186</v>
      </c>
      <c r="D62" s="95" t="s">
        <v>194</v>
      </c>
      <c r="E62" s="77" t="s">
        <v>181</v>
      </c>
      <c r="G62" s="100" t="s">
        <v>187</v>
      </c>
    </row>
    <row r="63" spans="1:7" ht="20.100000000000001" customHeight="1" x14ac:dyDescent="0.2">
      <c r="A63" s="197" t="s">
        <v>117</v>
      </c>
      <c r="B63" s="198" t="s">
        <v>83</v>
      </c>
      <c r="C63" s="92" t="str">
        <f t="shared" si="4"/>
        <v>DidierBENAZECH</v>
      </c>
      <c r="D63" s="105" t="s">
        <v>192</v>
      </c>
      <c r="E63" s="77">
        <v>54</v>
      </c>
      <c r="G63" s="101">
        <f>SMALL(Tableau81826[BRUT],1)</f>
        <v>54</v>
      </c>
    </row>
    <row r="64" spans="1:7" ht="20.100000000000001" customHeight="1" x14ac:dyDescent="0.2">
      <c r="A64" s="197" t="s">
        <v>98</v>
      </c>
      <c r="B64" s="197" t="s">
        <v>99</v>
      </c>
      <c r="C64" s="92" t="str">
        <f t="shared" si="4"/>
        <v>MoniqueDOMY</v>
      </c>
      <c r="D64" s="105" t="s">
        <v>193</v>
      </c>
      <c r="E64" s="77">
        <v>62</v>
      </c>
      <c r="G64" s="101">
        <f>SMALL(Tableau81826[BRUT],2)</f>
        <v>54</v>
      </c>
    </row>
    <row r="65" spans="1:7" ht="20.100000000000001" customHeight="1" x14ac:dyDescent="0.2">
      <c r="A65" s="197" t="s">
        <v>173</v>
      </c>
      <c r="B65" s="198" t="s">
        <v>174</v>
      </c>
      <c r="C65" s="92" t="str">
        <f t="shared" si="4"/>
        <v>ThierryJACQUEMOT</v>
      </c>
      <c r="D65" s="105" t="s">
        <v>192</v>
      </c>
      <c r="E65" s="77">
        <v>54</v>
      </c>
      <c r="G65" s="101">
        <f>SMALL(Tableau81826[BRUT],3)</f>
        <v>55</v>
      </c>
    </row>
    <row r="66" spans="1:7" ht="20.100000000000001" customHeight="1" x14ac:dyDescent="0.2">
      <c r="A66" s="197" t="s">
        <v>141</v>
      </c>
      <c r="B66" s="197" t="s">
        <v>142</v>
      </c>
      <c r="C66" s="92" t="str">
        <f t="shared" si="4"/>
        <v>CatherineLAFARGE</v>
      </c>
      <c r="D66" s="105" t="s">
        <v>193</v>
      </c>
      <c r="E66" s="77">
        <v>63</v>
      </c>
    </row>
    <row r="67" spans="1:7" ht="20.100000000000001" customHeight="1" x14ac:dyDescent="0.2">
      <c r="A67" s="197" t="s">
        <v>251</v>
      </c>
      <c r="B67" s="197" t="s">
        <v>263</v>
      </c>
      <c r="C67" s="196" t="str">
        <f>TRIM(CONCATENATE(B67,A67))</f>
        <v>Marie LaureRIFF</v>
      </c>
      <c r="D67" s="105" t="s">
        <v>193</v>
      </c>
      <c r="E67" s="77">
        <v>76</v>
      </c>
    </row>
    <row r="68" spans="1:7" ht="20.100000000000001" customHeight="1" x14ac:dyDescent="0.2">
      <c r="A68" s="197" t="s">
        <v>41</v>
      </c>
      <c r="B68" s="198" t="s">
        <v>252</v>
      </c>
      <c r="C68" s="92" t="str">
        <f t="shared" si="4"/>
        <v>J.LouisRODDE</v>
      </c>
      <c r="D68" s="105" t="s">
        <v>192</v>
      </c>
      <c r="E68" s="77">
        <v>55</v>
      </c>
    </row>
    <row r="69" spans="1:7" ht="19.350000000000001" customHeight="1" x14ac:dyDescent="0.2">
      <c r="A69" s="197" t="s">
        <v>73</v>
      </c>
      <c r="B69" s="197" t="s">
        <v>66</v>
      </c>
      <c r="C69" s="92" t="str">
        <f t="shared" si="4"/>
        <v>MartineVACHOT</v>
      </c>
      <c r="D69" s="105" t="s">
        <v>193</v>
      </c>
      <c r="E69" s="98">
        <v>69</v>
      </c>
    </row>
    <row r="70" spans="1:7" ht="19.350000000000001" customHeight="1" x14ac:dyDescent="0.2">
      <c r="A70" s="197" t="s">
        <v>265</v>
      </c>
      <c r="B70" s="198" t="s">
        <v>14</v>
      </c>
      <c r="C70" s="92" t="str">
        <f t="shared" ref="C70" si="7">TRIM(CONCATENATE(B70,A70))</f>
        <v>MichelRONGIER</v>
      </c>
      <c r="D70" s="105" t="s">
        <v>192</v>
      </c>
      <c r="E70" s="98">
        <v>60</v>
      </c>
    </row>
    <row r="71" spans="1:7" ht="19.350000000000001" customHeight="1" x14ac:dyDescent="0.2">
      <c r="A71" s="80"/>
      <c r="B71" s="80"/>
      <c r="C71" s="92" t="str">
        <f t="shared" si="4"/>
        <v/>
      </c>
      <c r="D71" s="80"/>
      <c r="E71" s="80"/>
    </row>
    <row r="72" spans="1:7" ht="20.100000000000001" customHeight="1" x14ac:dyDescent="0.2">
      <c r="A72" s="80"/>
      <c r="B72" s="80"/>
      <c r="C72" s="193"/>
      <c r="D72" s="80"/>
      <c r="E72" s="80"/>
    </row>
    <row r="73" spans="1:7" ht="20.100000000000001" customHeight="1" x14ac:dyDescent="0.2">
      <c r="A73" s="80"/>
      <c r="B73" s="80"/>
      <c r="C73" s="92" t="str">
        <f t="shared" si="4"/>
        <v/>
      </c>
      <c r="D73" s="80"/>
      <c r="E73" s="80"/>
    </row>
    <row r="74" spans="1:7" ht="20.100000000000001" customHeight="1" thickBot="1" x14ac:dyDescent="0.25">
      <c r="A74" s="268" t="s">
        <v>26</v>
      </c>
      <c r="B74" s="269"/>
      <c r="C74" s="269"/>
      <c r="D74" s="269"/>
      <c r="G74" s="100" t="s">
        <v>187</v>
      </c>
    </row>
    <row r="75" spans="1:7" ht="20.100000000000001" customHeight="1" thickBot="1" x14ac:dyDescent="0.25">
      <c r="A75" s="93" t="s">
        <v>180</v>
      </c>
      <c r="B75" s="94" t="s">
        <v>81</v>
      </c>
      <c r="C75" s="95" t="s">
        <v>186</v>
      </c>
      <c r="D75" s="95" t="s">
        <v>194</v>
      </c>
      <c r="E75" s="77" t="s">
        <v>181</v>
      </c>
      <c r="G75" s="101">
        <f>SMALL(Tableau91927[BRUT],1)</f>
        <v>70</v>
      </c>
    </row>
    <row r="76" spans="1:7" ht="20.100000000000001" customHeight="1" x14ac:dyDescent="0.2">
      <c r="A76" s="199" t="s">
        <v>122</v>
      </c>
      <c r="B76" s="199" t="s">
        <v>66</v>
      </c>
      <c r="C76" s="92" t="str">
        <f t="shared" si="4"/>
        <v>MartineMOUTH</v>
      </c>
      <c r="D76" s="105" t="s">
        <v>193</v>
      </c>
      <c r="E76" s="77">
        <v>74</v>
      </c>
      <c r="G76" s="101">
        <f>SMALL(Tableau91927[BRUT],2)</f>
        <v>74</v>
      </c>
    </row>
    <row r="77" spans="1:7" ht="20.100000000000001" customHeight="1" x14ac:dyDescent="0.2">
      <c r="A77" s="199" t="s">
        <v>116</v>
      </c>
      <c r="B77" s="199" t="s">
        <v>59</v>
      </c>
      <c r="C77" s="92" t="str">
        <f t="shared" si="4"/>
        <v>SylvieRUSZNIEWSKI</v>
      </c>
      <c r="D77" s="105" t="s">
        <v>193</v>
      </c>
      <c r="E77" s="77">
        <v>78</v>
      </c>
      <c r="G77" s="101">
        <f>SMALL(Tableau91927[BRUT],3)</f>
        <v>78</v>
      </c>
    </row>
    <row r="78" spans="1:7" ht="19.5" x14ac:dyDescent="0.2">
      <c r="A78" s="199" t="s">
        <v>177</v>
      </c>
      <c r="B78" s="199" t="s">
        <v>253</v>
      </c>
      <c r="C78" s="92" t="str">
        <f t="shared" si="4"/>
        <v>BenedicteTAILLADE</v>
      </c>
      <c r="D78" s="105" t="s">
        <v>193</v>
      </c>
      <c r="E78" s="77">
        <v>70</v>
      </c>
    </row>
  </sheetData>
  <mergeCells count="12">
    <mergeCell ref="A74:D74"/>
    <mergeCell ref="A1:I1"/>
    <mergeCell ref="A3:D3"/>
    <mergeCell ref="J5:K5"/>
    <mergeCell ref="J10:K10"/>
    <mergeCell ref="A13:D13"/>
    <mergeCell ref="J16:K16"/>
    <mergeCell ref="J19:K19"/>
    <mergeCell ref="A26:D26"/>
    <mergeCell ref="A34:D34"/>
    <mergeCell ref="A48:D48"/>
    <mergeCell ref="A61:D61"/>
  </mergeCells>
  <dataValidations count="2">
    <dataValidation type="list" allowBlank="1" showInputMessage="1" showErrorMessage="1" sqref="B36:B45" xr:uid="{00000000-0002-0000-0400-000000000000}">
      <formula1>NOM</formula1>
    </dataValidation>
    <dataValidation type="list" allowBlank="1" showInputMessage="1" showErrorMessage="1" sqref="J17 J19" xr:uid="{00000000-0002-0000-0400-000001000000}">
      <formula1>NOMBIS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U79"/>
  <sheetViews>
    <sheetView topLeftCell="A41" workbookViewId="0">
      <selection activeCell="A80" sqref="A80"/>
    </sheetView>
  </sheetViews>
  <sheetFormatPr baseColWidth="10" defaultRowHeight="12.75" x14ac:dyDescent="0.2"/>
  <cols>
    <col min="1" max="1" width="30.140625" bestFit="1" customWidth="1"/>
    <col min="2" max="2" width="19.140625" customWidth="1"/>
    <col min="3" max="3" width="13.140625" hidden="1" customWidth="1"/>
    <col min="4" max="4" width="4.7109375" customWidth="1"/>
    <col min="5" max="5" width="8.42578125" customWidth="1"/>
    <col min="6" max="6" width="8.7109375" customWidth="1"/>
    <col min="7" max="7" width="14.28515625" bestFit="1" customWidth="1"/>
    <col min="8" max="8" width="3" customWidth="1"/>
    <col min="9" max="9" width="3.7109375" customWidth="1"/>
    <col min="10" max="10" width="21.140625" customWidth="1"/>
    <col min="11" max="11" width="18" customWidth="1"/>
    <col min="12" max="12" width="15.28515625" customWidth="1"/>
    <col min="13" max="13" width="13" bestFit="1" customWidth="1"/>
    <col min="14" max="14" width="11" customWidth="1"/>
    <col min="15" max="15" width="12.85546875" hidden="1" customWidth="1"/>
    <col min="16" max="16" width="8.140625" hidden="1" customWidth="1"/>
    <col min="17" max="17" width="6.85546875" hidden="1" customWidth="1"/>
    <col min="18" max="18" width="4.85546875" customWidth="1"/>
    <col min="19" max="19" width="30.42578125" bestFit="1" customWidth="1"/>
    <col min="20" max="20" width="9.42578125" bestFit="1" customWidth="1"/>
    <col min="21" max="21" width="13" bestFit="1" customWidth="1"/>
  </cols>
  <sheetData>
    <row r="1" spans="1:21" ht="67.7" customHeight="1" thickBot="1" x14ac:dyDescent="0.25">
      <c r="A1" s="261" t="s">
        <v>206</v>
      </c>
      <c r="B1" s="262"/>
      <c r="C1" s="262"/>
      <c r="D1" s="262"/>
      <c r="E1" s="262"/>
      <c r="F1" s="262"/>
      <c r="G1" s="262"/>
      <c r="H1" s="262"/>
      <c r="I1" s="263"/>
    </row>
    <row r="3" spans="1:21" ht="20.25" thickBot="1" x14ac:dyDescent="0.25">
      <c r="A3" s="270" t="s">
        <v>13</v>
      </c>
      <c r="B3" s="271"/>
      <c r="C3" s="271"/>
      <c r="D3" s="271"/>
    </row>
    <row r="4" spans="1:21" ht="20.100000000000001" customHeight="1" thickBot="1" x14ac:dyDescent="0.25">
      <c r="A4" s="93" t="s">
        <v>180</v>
      </c>
      <c r="B4" s="94" t="s">
        <v>81</v>
      </c>
      <c r="C4" s="95" t="s">
        <v>186</v>
      </c>
      <c r="D4" s="95" t="s">
        <v>194</v>
      </c>
      <c r="E4" s="77" t="s">
        <v>181</v>
      </c>
      <c r="G4" s="100" t="s">
        <v>187</v>
      </c>
    </row>
    <row r="5" spans="1:21" ht="20.100000000000001" customHeight="1" x14ac:dyDescent="0.2">
      <c r="A5" s="202" t="s">
        <v>146</v>
      </c>
      <c r="B5" s="203" t="s">
        <v>106</v>
      </c>
      <c r="C5" s="92" t="str">
        <f>TRIM(CONCATENATE(B5,A5))</f>
        <v>Jean ClaudeCLUZEL</v>
      </c>
      <c r="D5" s="105" t="s">
        <v>192</v>
      </c>
      <c r="E5" s="77">
        <v>67</v>
      </c>
      <c r="G5" s="101">
        <f>SMALL(Tableau3132129[BRUT],1)</f>
        <v>60</v>
      </c>
      <c r="J5" s="264" t="s">
        <v>189</v>
      </c>
      <c r="K5" s="265"/>
      <c r="L5" s="125" t="s">
        <v>190</v>
      </c>
      <c r="M5" s="103" t="s">
        <v>191</v>
      </c>
    </row>
    <row r="6" spans="1:21" ht="20.100000000000001" customHeight="1" x14ac:dyDescent="0.2">
      <c r="A6" s="202" t="s">
        <v>11</v>
      </c>
      <c r="B6" s="203" t="s">
        <v>12</v>
      </c>
      <c r="C6" s="92" t="str">
        <f t="shared" ref="C6:C14" si="0">TRIM(CONCATENATE(B6,A6))</f>
        <v>AlainJEANDREAU</v>
      </c>
      <c r="D6" s="105" t="s">
        <v>192</v>
      </c>
      <c r="E6" s="77">
        <v>60</v>
      </c>
      <c r="G6" s="101">
        <f>SMALL(Tableau3132129[BRUT],2)</f>
        <v>61</v>
      </c>
      <c r="J6" s="107" t="str">
        <f t="array" ref="J6">IFERROR(INDEX(A$5:A$102, MATCH(1, (D$5:D$102="F")*(E$5:E$102=L6)*(COUNTIF(J$5:J5,A$5:A$102)=0), 0)),"")</f>
        <v>DOMY</v>
      </c>
      <c r="K6" s="107" t="str">
        <f t="array" ref="K6">IFERROR(INDEX(B$5:B$102, MATCH(1, (D$5:D$102="F")*(E$5:E$102=L6)*(COUNTIF(L$5:L5,E$5:E$102)=0), 0)),"")</f>
        <v>Monique</v>
      </c>
      <c r="L6" s="126">
        <f t="array" ref="L6">IFERROR(SMALL(IF(D$6:D$102="F",E$6:E$102), ROW(A1)),"")</f>
        <v>68</v>
      </c>
      <c r="M6" s="104">
        <v>1</v>
      </c>
      <c r="O6" s="120" t="s">
        <v>201</v>
      </c>
      <c r="P6" s="121" t="s">
        <v>202</v>
      </c>
      <c r="Q6" s="122" t="s">
        <v>191</v>
      </c>
      <c r="S6" s="116" t="s">
        <v>201</v>
      </c>
      <c r="T6" s="128" t="s">
        <v>202</v>
      </c>
      <c r="U6" s="118" t="s">
        <v>191</v>
      </c>
    </row>
    <row r="7" spans="1:21" ht="20.100000000000001" customHeight="1" x14ac:dyDescent="0.2">
      <c r="A7" s="202" t="s">
        <v>182</v>
      </c>
      <c r="B7" s="203" t="s">
        <v>183</v>
      </c>
      <c r="C7" s="92" t="str">
        <f t="shared" si="0"/>
        <v>RolandJUHLIEN</v>
      </c>
      <c r="D7" s="105" t="s">
        <v>192</v>
      </c>
      <c r="E7" s="77">
        <v>62</v>
      </c>
      <c r="G7" s="101">
        <f>SMALL(Tableau3132129[BRUT],3)</f>
        <v>62</v>
      </c>
      <c r="J7" s="108" t="str">
        <f t="array" ref="J7">IFERROR(INDEX(A$6:A$102, MATCH(1, (D$6:D$102="F")*(E$6:E$102=L7)*(COUNTIF(J$5:J6,A$6:A$102)=0), 0)),"")</f>
        <v>PAUTY</v>
      </c>
      <c r="K7" s="108" t="str">
        <f t="array" ref="K7">IFERROR(INDEX(B$6:B$102, MATCH(1, (D$6:D$102="F")*(E$6:E$102=L7)*(COUNTIF(K$5:K6,B$6:B$102)=0), 0)),"")</f>
        <v>Véronique</v>
      </c>
      <c r="L7" s="126">
        <f t="array" ref="L7">IFERROR(SMALL(IF((D$5:D$102="F")*(COUNTIF(L$5:L5,E$5:E$102)=0), E$5:E$102), ROW(A2)),"")</f>
        <v>74</v>
      </c>
      <c r="M7" s="104">
        <v>2</v>
      </c>
      <c r="O7" s="119" t="str">
        <f>A3</f>
        <v>RIOM</v>
      </c>
      <c r="P7" s="114">
        <f>SUM(G5:G7)</f>
        <v>183</v>
      </c>
      <c r="Q7" s="104">
        <f>RANK(P7, P$7:P$13, 1) + COUNTIF(P$7:P7, P7) - 1</f>
        <v>1</v>
      </c>
      <c r="S7" s="117" t="str">
        <f>INDEX(O$7:O$13, MATCH(ROW(A1), Q$7:Q$13, 0))</f>
        <v>RIOM</v>
      </c>
      <c r="T7" s="129">
        <f>INDEX(P$7:P$13, MATCH(ROW(A1), Q$7:Q$13, 0))</f>
        <v>183</v>
      </c>
      <c r="U7" s="104">
        <f>ROW(A1)</f>
        <v>1</v>
      </c>
    </row>
    <row r="8" spans="1:21" ht="20.100000000000001" customHeight="1" x14ac:dyDescent="0.2">
      <c r="A8" s="202" t="s">
        <v>35</v>
      </c>
      <c r="B8" s="203" t="s">
        <v>270</v>
      </c>
      <c r="C8" s="180" t="str">
        <f>TRIM(CONCATENATE(B8,A8))</f>
        <v>FrançoisKUCHCIK</v>
      </c>
      <c r="D8" s="105" t="s">
        <v>192</v>
      </c>
      <c r="E8" s="77">
        <v>71</v>
      </c>
      <c r="O8" s="119" t="str">
        <f>A15</f>
        <v>GAZELEC CLERMONT</v>
      </c>
      <c r="P8" s="114">
        <f>SUM(G17:G19)</f>
        <v>189</v>
      </c>
      <c r="Q8" s="104">
        <f>RANK(P8, P$7:P$13, 1) + COUNTIF(P$7:P8, P8) - 1</f>
        <v>2</v>
      </c>
      <c r="S8" s="117" t="str">
        <f t="shared" ref="S8:S13" si="1">INDEX(O$7:O$13, MATCH(ROW(A2), Q$7:Q$13, 0))</f>
        <v>GAZELEC CLERMONT</v>
      </c>
      <c r="T8" s="129">
        <f>INDEX(P$7:P$13, MATCH(ROW(A2), Q$7:Q$13, 0))</f>
        <v>189</v>
      </c>
      <c r="U8" s="104">
        <f t="shared" ref="U8:U13" si="2">ROW(A2)</f>
        <v>2</v>
      </c>
    </row>
    <row r="9" spans="1:21" ht="20.100000000000001" customHeight="1" x14ac:dyDescent="0.2">
      <c r="A9" s="202" t="s">
        <v>35</v>
      </c>
      <c r="B9" s="202" t="s">
        <v>249</v>
      </c>
      <c r="C9" s="180" t="str">
        <f>TRIM(CONCATENATE(B9,A9))</f>
        <v>JoëlleKUCHCIK</v>
      </c>
      <c r="D9" s="105" t="s">
        <v>193</v>
      </c>
      <c r="E9" s="77">
        <v>82</v>
      </c>
      <c r="O9" s="119" t="str">
        <f>A29</f>
        <v>GAZELEC MOULINS/VICHY</v>
      </c>
      <c r="P9" s="114">
        <f>SUM(G31:G33)</f>
        <v>270</v>
      </c>
      <c r="Q9" s="104">
        <f>RANK(P9, P$7:P$13, 1) + COUNTIF(P$7:P9, P9) - 1</f>
        <v>7</v>
      </c>
      <c r="S9" s="117" t="str">
        <f t="shared" si="1"/>
        <v>MAURIAC</v>
      </c>
      <c r="T9" s="129">
        <f t="shared" ref="T9:T13" si="3">INDEX(P$7:P$13, MATCH(ROW(A3), Q$7:Q$13, 0))</f>
        <v>197</v>
      </c>
      <c r="U9" s="104">
        <f t="shared" si="2"/>
        <v>3</v>
      </c>
    </row>
    <row r="10" spans="1:21" ht="20.100000000000001" customHeight="1" x14ac:dyDescent="0.2">
      <c r="A10" s="202" t="s">
        <v>49</v>
      </c>
      <c r="B10" s="203" t="s">
        <v>50</v>
      </c>
      <c r="C10" s="92" t="str">
        <f t="shared" si="0"/>
        <v>ChristianMOULIN</v>
      </c>
      <c r="D10" s="105" t="s">
        <v>192</v>
      </c>
      <c r="E10" s="77">
        <v>61</v>
      </c>
      <c r="J10" s="264" t="s">
        <v>195</v>
      </c>
      <c r="K10" s="265"/>
      <c r="L10" s="125" t="s">
        <v>190</v>
      </c>
      <c r="M10" s="103" t="s">
        <v>191</v>
      </c>
      <c r="O10" s="119" t="str">
        <f>A37</f>
        <v>VAL D'AUZON</v>
      </c>
      <c r="P10" s="114">
        <f>SUM(G39:G41)</f>
        <v>209</v>
      </c>
      <c r="Q10" s="104">
        <f>RANK(P10, P$7:P$13, 1) + COUNTIF(P$7:P10, P10) - 1</f>
        <v>5</v>
      </c>
      <c r="S10" s="117" t="str">
        <f t="shared" si="1"/>
        <v>CHARADE</v>
      </c>
      <c r="T10" s="129">
        <f t="shared" si="3"/>
        <v>205</v>
      </c>
      <c r="U10" s="104">
        <f t="shared" si="2"/>
        <v>4</v>
      </c>
    </row>
    <row r="11" spans="1:21" ht="20.100000000000001" customHeight="1" x14ac:dyDescent="0.2">
      <c r="A11" s="202" t="s">
        <v>138</v>
      </c>
      <c r="B11" s="203" t="s">
        <v>44</v>
      </c>
      <c r="C11" s="92" t="str">
        <f t="shared" si="0"/>
        <v>JackyPEGEON</v>
      </c>
      <c r="D11" s="105" t="s">
        <v>192</v>
      </c>
      <c r="E11" s="77">
        <v>73</v>
      </c>
      <c r="J11" s="109" t="str">
        <f t="array" ref="J11">IFERROR(INDEX(A$5:A$102, MATCH(1, (D$5:D$102="M")*(E$5:E$102=L11)*(COUNTIF(J$10:J10,A$5:A$102)=0), 0)),"")</f>
        <v>JEANDREAU</v>
      </c>
      <c r="K11" s="109" t="str">
        <f t="array" ref="K11">IFERROR(INDEX(B$5:B$102, MATCH(1, (D$5:D$102="M")*(E$5:E$102=L11)*(COUNTIF(L$10:L10,E$5:E$102)=0), 0)),"")</f>
        <v>Alain</v>
      </c>
      <c r="L11" s="127">
        <f t="array" ref="L11">IFERROR(SMALL(IF(D$5:D$102="M",E$5:E$102), ROW(A1)),"")</f>
        <v>60</v>
      </c>
      <c r="M11" s="106">
        <v>1</v>
      </c>
      <c r="O11" s="119" t="str">
        <f>A51</f>
        <v>CHARADE</v>
      </c>
      <c r="P11" s="114">
        <f>SUM(G53:G55)</f>
        <v>205</v>
      </c>
      <c r="Q11" s="104">
        <f>RANK(P11, P$7:P$13, 1) + COUNTIF(P$7:P11, P11) - 1</f>
        <v>4</v>
      </c>
      <c r="S11" s="117" t="str">
        <f t="shared" si="1"/>
        <v>VAL D'AUZON</v>
      </c>
      <c r="T11" s="129">
        <f t="shared" si="3"/>
        <v>209</v>
      </c>
      <c r="U11" s="104">
        <f t="shared" si="2"/>
        <v>5</v>
      </c>
    </row>
    <row r="12" spans="1:21" ht="20.100000000000001" customHeight="1" x14ac:dyDescent="0.2">
      <c r="A12" s="204" t="s">
        <v>53</v>
      </c>
      <c r="B12" s="202" t="s">
        <v>58</v>
      </c>
      <c r="C12" s="92" t="str">
        <f t="shared" si="0"/>
        <v>AnnieROSSI</v>
      </c>
      <c r="D12" s="105" t="s">
        <v>193</v>
      </c>
      <c r="E12" s="77">
        <v>75</v>
      </c>
      <c r="J12" s="109" t="str">
        <f t="array" ref="J12">IFERROR(INDEX(A$5:A$102, MATCH(1, (D$5:D$102="M")*(E$5:E$102=L12)*(COUNTIF(J$10:J11,A$5:A$102)=0), 0)),"")</f>
        <v>MOULIN</v>
      </c>
      <c r="K12" s="109" t="str">
        <f t="array" ref="K12">IFERROR(INDEX(B$5:B$102, MATCH(1, (D$5:D$102="M")*(E$5:E$102=L12)*(COUNTIF(K$10:K11,B$5:B$102)=0), 0)),"")</f>
        <v>Christian</v>
      </c>
      <c r="L12" s="127">
        <f t="array" ref="L12">IFERROR(SMALL(IF(D$5:D$102="M",E$5:E$102), ROW(A2)),"")</f>
        <v>61</v>
      </c>
      <c r="M12" s="106">
        <v>2</v>
      </c>
      <c r="O12" s="119" t="str">
        <f>A65</f>
        <v>MAURIAC</v>
      </c>
      <c r="P12" s="114">
        <f>SUM(G67:G69)</f>
        <v>197</v>
      </c>
      <c r="Q12" s="104">
        <f>RANK(P12, P$7:P$13, 1) + COUNTIF(P$7:P12, P12) - 1</f>
        <v>3</v>
      </c>
      <c r="S12" s="117" t="str">
        <f t="shared" si="1"/>
        <v>MONTPENSIER</v>
      </c>
      <c r="T12" s="129">
        <f t="shared" si="3"/>
        <v>257</v>
      </c>
      <c r="U12" s="104">
        <f t="shared" si="2"/>
        <v>6</v>
      </c>
    </row>
    <row r="13" spans="1:21" ht="20.100000000000001" customHeight="1" x14ac:dyDescent="0.2">
      <c r="A13" s="80"/>
      <c r="B13" s="80"/>
      <c r="C13" s="92" t="str">
        <f t="shared" si="0"/>
        <v/>
      </c>
      <c r="D13" s="80"/>
      <c r="E13" s="80"/>
      <c r="J13" s="109" t="str">
        <f t="array" ref="J13">IFERROR(INDEX(A$5:A$102, MATCH(1, (D$5:D$102="M")*(E$5:E$102=L13)*(COUNTIF(J$10:J12,A$5:A$102)=0), 0)),"")</f>
        <v>CAMBET</v>
      </c>
      <c r="K13" s="109" t="str">
        <f t="array" ref="K13">IFERROR(INDEX(B$6:B$102, MATCH(1, (D$6:D$102="M")*(E$6:E$102=L13)*(COUNTIF(K$10:K12,B$6:B$102)=0), 0)),"")</f>
        <v>Gérard</v>
      </c>
      <c r="L13" s="127">
        <f t="array" ref="L13">IFERROR(SMALL(IF(D$5:D$102="M",E$5:E$102), ROW(A3)),"")</f>
        <v>61</v>
      </c>
      <c r="M13" s="106">
        <v>3</v>
      </c>
      <c r="O13" s="123" t="str">
        <f>A75</f>
        <v>MONTPENSIER</v>
      </c>
      <c r="P13" s="124">
        <f>SUM(G77:G79)</f>
        <v>257</v>
      </c>
      <c r="Q13" s="104">
        <f>RANK(P13, P$7:P$13, 1) + COUNTIF(P$7:P13, P13) - 1</f>
        <v>6</v>
      </c>
      <c r="S13" s="117" t="str">
        <f t="shared" si="1"/>
        <v>GAZELEC MOULINS/VICHY</v>
      </c>
      <c r="T13" s="129">
        <f t="shared" si="3"/>
        <v>270</v>
      </c>
      <c r="U13" s="104">
        <f t="shared" si="2"/>
        <v>7</v>
      </c>
    </row>
    <row r="14" spans="1:21" ht="20.100000000000001" customHeight="1" x14ac:dyDescent="0.2">
      <c r="A14" s="80"/>
      <c r="B14" s="80"/>
      <c r="C14" s="92" t="str">
        <f t="shared" si="0"/>
        <v/>
      </c>
      <c r="D14" s="80"/>
      <c r="E14" s="80"/>
    </row>
    <row r="15" spans="1:21" ht="20.100000000000001" customHeight="1" x14ac:dyDescent="0.2">
      <c r="A15" s="272" t="s">
        <v>130</v>
      </c>
      <c r="B15" s="273"/>
      <c r="C15" s="273"/>
      <c r="D15" s="273"/>
    </row>
    <row r="16" spans="1:21" ht="20.100000000000001" customHeight="1" thickBot="1" x14ac:dyDescent="0.25">
      <c r="A16" s="93" t="s">
        <v>180</v>
      </c>
      <c r="B16" s="94" t="s">
        <v>81</v>
      </c>
      <c r="C16" s="95" t="s">
        <v>186</v>
      </c>
      <c r="D16" s="95" t="s">
        <v>194</v>
      </c>
      <c r="E16" s="77" t="s">
        <v>181</v>
      </c>
      <c r="G16" s="100" t="s">
        <v>187</v>
      </c>
      <c r="J16" s="266" t="s">
        <v>196</v>
      </c>
      <c r="K16" s="267"/>
      <c r="L16" s="102" t="s">
        <v>197</v>
      </c>
      <c r="M16" s="110" t="s">
        <v>279</v>
      </c>
    </row>
    <row r="17" spans="1:13" ht="20.100000000000001" customHeight="1" x14ac:dyDescent="0.2">
      <c r="A17" s="205" t="s">
        <v>20</v>
      </c>
      <c r="B17" s="203" t="s">
        <v>21</v>
      </c>
      <c r="C17" s="92" t="str">
        <f t="shared" ref="C17:C79" si="4">TRIM(CONCATENATE(B17,A17))</f>
        <v>GérardCAMBET</v>
      </c>
      <c r="D17" s="105" t="s">
        <v>192</v>
      </c>
      <c r="E17" s="77">
        <v>61</v>
      </c>
      <c r="G17" s="101">
        <f>SMALL(Tableau4142230[BRUT],1)</f>
        <v>61</v>
      </c>
      <c r="J17" s="107"/>
      <c r="K17" s="107"/>
      <c r="L17" s="111"/>
      <c r="M17" s="80"/>
    </row>
    <row r="18" spans="1:13" ht="20.100000000000001" customHeight="1" x14ac:dyDescent="0.2">
      <c r="A18" s="205" t="s">
        <v>20</v>
      </c>
      <c r="B18" s="205" t="s">
        <v>101</v>
      </c>
      <c r="C18" s="92" t="str">
        <f t="shared" si="4"/>
        <v>JocelyneCAMBET</v>
      </c>
      <c r="D18" s="105" t="s">
        <v>193</v>
      </c>
      <c r="E18" s="77">
        <v>83</v>
      </c>
      <c r="G18" s="101">
        <f>SMALL(Tableau4142230[BRUT],2)</f>
        <v>64</v>
      </c>
      <c r="J18" s="112"/>
      <c r="K18" s="112"/>
      <c r="L18" s="112"/>
      <c r="M18" s="80"/>
    </row>
    <row r="19" spans="1:13" ht="20.100000000000001" customHeight="1" x14ac:dyDescent="0.2">
      <c r="A19" s="205" t="s">
        <v>169</v>
      </c>
      <c r="B19" s="203" t="s">
        <v>39</v>
      </c>
      <c r="C19" s="92" t="str">
        <f t="shared" si="4"/>
        <v>SergeFONTANON</v>
      </c>
      <c r="D19" s="105" t="s">
        <v>192</v>
      </c>
      <c r="E19" s="77">
        <v>72</v>
      </c>
      <c r="G19" s="101">
        <f>SMALL(Tableau4142230[BRUT],3)</f>
        <v>64</v>
      </c>
      <c r="J19" s="266" t="s">
        <v>200</v>
      </c>
      <c r="K19" s="267"/>
      <c r="L19" s="102" t="s">
        <v>197</v>
      </c>
      <c r="M19" s="113" t="s">
        <v>279</v>
      </c>
    </row>
    <row r="20" spans="1:13" ht="20.100000000000001" customHeight="1" x14ac:dyDescent="0.2">
      <c r="A20" s="205" t="s">
        <v>92</v>
      </c>
      <c r="B20" s="203" t="s">
        <v>52</v>
      </c>
      <c r="C20" s="92" t="str">
        <f t="shared" si="4"/>
        <v>GillesFROMAGE</v>
      </c>
      <c r="D20" s="105" t="s">
        <v>192</v>
      </c>
      <c r="E20" s="77">
        <v>81</v>
      </c>
      <c r="J20" s="109" t="s">
        <v>29</v>
      </c>
      <c r="K20" s="109" t="s">
        <v>280</v>
      </c>
      <c r="L20" s="114">
        <v>0.65</v>
      </c>
      <c r="M20" s="115"/>
    </row>
    <row r="21" spans="1:13" ht="20.100000000000001" customHeight="1" x14ac:dyDescent="0.2">
      <c r="A21" s="205" t="s">
        <v>17</v>
      </c>
      <c r="B21" s="203" t="s">
        <v>18</v>
      </c>
      <c r="C21" s="92" t="str">
        <f t="shared" si="4"/>
        <v>Jean MarcHESEL</v>
      </c>
      <c r="D21" s="105" t="s">
        <v>192</v>
      </c>
      <c r="E21" s="77">
        <v>64</v>
      </c>
    </row>
    <row r="22" spans="1:13" ht="20.100000000000001" customHeight="1" x14ac:dyDescent="0.2">
      <c r="A22" s="205" t="s">
        <v>271</v>
      </c>
      <c r="B22" s="205" t="s">
        <v>272</v>
      </c>
      <c r="C22" s="92" t="str">
        <f t="shared" si="4"/>
        <v>NicoleMAZUEL</v>
      </c>
      <c r="D22" s="105" t="s">
        <v>193</v>
      </c>
      <c r="E22" s="77">
        <v>75</v>
      </c>
    </row>
    <row r="23" spans="1:13" ht="20.100000000000001" customHeight="1" x14ac:dyDescent="0.2">
      <c r="A23" s="205" t="s">
        <v>170</v>
      </c>
      <c r="B23" s="203" t="s">
        <v>18</v>
      </c>
      <c r="C23" s="92" t="str">
        <f t="shared" si="4"/>
        <v>Jean MarcPAUTY</v>
      </c>
      <c r="D23" s="105" t="s">
        <v>192</v>
      </c>
      <c r="E23" s="77">
        <v>67</v>
      </c>
    </row>
    <row r="24" spans="1:13" ht="20.100000000000001" customHeight="1" x14ac:dyDescent="0.2">
      <c r="A24" s="205" t="s">
        <v>170</v>
      </c>
      <c r="B24" s="205" t="s">
        <v>171</v>
      </c>
      <c r="C24" s="92" t="str">
        <f t="shared" si="4"/>
        <v>VéroniquePAUTY</v>
      </c>
      <c r="D24" s="105" t="s">
        <v>193</v>
      </c>
      <c r="E24" s="77">
        <v>74</v>
      </c>
    </row>
    <row r="25" spans="1:13" ht="20.100000000000001" customHeight="1" x14ac:dyDescent="0.2">
      <c r="A25" s="205" t="s">
        <v>67</v>
      </c>
      <c r="B25" s="205" t="s">
        <v>68</v>
      </c>
      <c r="C25" s="92" t="str">
        <f t="shared" si="4"/>
        <v>CorinneTIXIER</v>
      </c>
      <c r="D25" s="105" t="s">
        <v>193</v>
      </c>
      <c r="E25" s="77">
        <v>87</v>
      </c>
    </row>
    <row r="26" spans="1:13" ht="20.100000000000001" customHeight="1" x14ac:dyDescent="0.2">
      <c r="A26" s="135" t="s">
        <v>86</v>
      </c>
      <c r="B26" s="136" t="s">
        <v>52</v>
      </c>
      <c r="C26" s="92" t="str">
        <f t="shared" si="4"/>
        <v>GillesVESCOVI</v>
      </c>
      <c r="D26" s="105" t="s">
        <v>192</v>
      </c>
      <c r="E26" s="77">
        <v>64</v>
      </c>
    </row>
    <row r="27" spans="1:13" ht="20.100000000000001" customHeight="1" x14ac:dyDescent="0.2">
      <c r="A27" s="80"/>
      <c r="B27" s="80"/>
      <c r="C27" s="92" t="str">
        <f t="shared" si="4"/>
        <v/>
      </c>
      <c r="D27" s="80"/>
      <c r="E27" s="80"/>
    </row>
    <row r="28" spans="1:13" ht="20.100000000000001" customHeight="1" x14ac:dyDescent="0.2">
      <c r="A28" s="80"/>
      <c r="B28" s="80"/>
      <c r="C28" s="92" t="str">
        <f t="shared" si="4"/>
        <v/>
      </c>
      <c r="D28" s="80"/>
      <c r="E28" s="80"/>
    </row>
    <row r="29" spans="1:13" ht="20.100000000000001" customHeight="1" x14ac:dyDescent="0.2">
      <c r="A29" s="274" t="s">
        <v>184</v>
      </c>
      <c r="B29" s="275"/>
      <c r="C29" s="275"/>
      <c r="D29" s="275"/>
    </row>
    <row r="30" spans="1:13" ht="20.100000000000001" customHeight="1" thickBot="1" x14ac:dyDescent="0.25">
      <c r="A30" s="93" t="s">
        <v>180</v>
      </c>
      <c r="B30" s="94" t="s">
        <v>81</v>
      </c>
      <c r="C30" s="95" t="s">
        <v>186</v>
      </c>
      <c r="D30" s="95" t="s">
        <v>194</v>
      </c>
      <c r="E30" s="77" t="s">
        <v>181</v>
      </c>
      <c r="G30" s="100" t="s">
        <v>187</v>
      </c>
    </row>
    <row r="31" spans="1:13" ht="20.100000000000001" customHeight="1" x14ac:dyDescent="0.2">
      <c r="A31" s="83"/>
      <c r="B31" s="83"/>
      <c r="C31" s="92" t="str">
        <f t="shared" si="4"/>
        <v/>
      </c>
      <c r="D31" s="105"/>
      <c r="E31" s="84">
        <v>90</v>
      </c>
      <c r="G31" s="101">
        <f>SMALL(Tableau5152331[BRUT],1)</f>
        <v>90</v>
      </c>
    </row>
    <row r="32" spans="1:13" ht="20.100000000000001" customHeight="1" x14ac:dyDescent="0.2">
      <c r="A32" s="83"/>
      <c r="B32" s="83"/>
      <c r="C32" s="92" t="str">
        <f t="shared" si="4"/>
        <v/>
      </c>
      <c r="D32" s="105"/>
      <c r="E32" s="78">
        <v>90</v>
      </c>
      <c r="G32" s="101">
        <f>SMALL(Tableau5152331[BRUT],2)</f>
        <v>90</v>
      </c>
    </row>
    <row r="33" spans="1:7" ht="20.100000000000001" customHeight="1" x14ac:dyDescent="0.2">
      <c r="A33" s="85"/>
      <c r="B33" s="83"/>
      <c r="C33" s="92" t="str">
        <f t="shared" si="4"/>
        <v/>
      </c>
      <c r="D33" s="105"/>
      <c r="E33" s="78">
        <v>90</v>
      </c>
      <c r="G33" s="101">
        <f>SMALL(Tableau5152331[BRUT],3)</f>
        <v>90</v>
      </c>
    </row>
    <row r="34" spans="1:7" ht="20.100000000000001" customHeight="1" x14ac:dyDescent="0.2">
      <c r="A34" s="85"/>
      <c r="B34" s="83"/>
      <c r="C34" s="92" t="str">
        <f t="shared" si="4"/>
        <v/>
      </c>
      <c r="D34" s="105"/>
      <c r="E34" s="78">
        <v>90</v>
      </c>
    </row>
    <row r="35" spans="1:7" ht="20.100000000000001" customHeight="1" x14ac:dyDescent="0.2">
      <c r="A35" s="80"/>
      <c r="B35" s="80"/>
      <c r="C35" s="92" t="str">
        <f t="shared" si="4"/>
        <v/>
      </c>
      <c r="D35" s="80"/>
      <c r="E35" s="80"/>
    </row>
    <row r="36" spans="1:7" ht="20.100000000000001" customHeight="1" x14ac:dyDescent="0.2">
      <c r="A36" s="80"/>
      <c r="B36" s="80"/>
      <c r="C36" s="92" t="str">
        <f t="shared" si="4"/>
        <v/>
      </c>
      <c r="D36" s="80"/>
      <c r="E36" s="80"/>
    </row>
    <row r="37" spans="1:7" ht="20.100000000000001" customHeight="1" thickBot="1" x14ac:dyDescent="0.25">
      <c r="A37" s="276" t="s">
        <v>19</v>
      </c>
      <c r="B37" s="277"/>
      <c r="C37" s="277"/>
      <c r="D37" s="277"/>
    </row>
    <row r="38" spans="1:7" ht="20.100000000000001" customHeight="1" thickBot="1" x14ac:dyDescent="0.25">
      <c r="A38" s="93" t="s">
        <v>180</v>
      </c>
      <c r="B38" s="94" t="s">
        <v>81</v>
      </c>
      <c r="C38" s="95" t="s">
        <v>186</v>
      </c>
      <c r="D38" s="95" t="s">
        <v>194</v>
      </c>
      <c r="E38" s="77" t="s">
        <v>181</v>
      </c>
      <c r="G38" s="100" t="s">
        <v>187</v>
      </c>
    </row>
    <row r="39" spans="1:7" ht="20.100000000000001" customHeight="1" x14ac:dyDescent="0.2">
      <c r="A39" s="200" t="s">
        <v>254</v>
      </c>
      <c r="B39" s="203" t="s">
        <v>25</v>
      </c>
      <c r="C39" s="92" t="str">
        <f t="shared" si="4"/>
        <v>JacquesANAVOISARD</v>
      </c>
      <c r="D39" s="105" t="s">
        <v>192</v>
      </c>
      <c r="E39" s="77">
        <v>74</v>
      </c>
      <c r="G39" s="101">
        <f>SMALL(Tableau6162432[BRUT],1)</f>
        <v>68</v>
      </c>
    </row>
    <row r="40" spans="1:7" ht="20.100000000000001" customHeight="1" x14ac:dyDescent="0.2">
      <c r="A40" s="200" t="s">
        <v>216</v>
      </c>
      <c r="B40" s="201" t="s">
        <v>23</v>
      </c>
      <c r="C40" s="92" t="str">
        <f t="shared" si="4"/>
        <v>MarcBARSANGES</v>
      </c>
      <c r="D40" s="105" t="s">
        <v>192</v>
      </c>
      <c r="E40" s="77">
        <v>71</v>
      </c>
      <c r="G40" s="101">
        <f>SMALL(Tableau6162432[BRUT],2)</f>
        <v>70</v>
      </c>
    </row>
    <row r="41" spans="1:7" ht="20.100000000000001" customHeight="1" x14ac:dyDescent="0.2">
      <c r="A41" s="200" t="s">
        <v>139</v>
      </c>
      <c r="B41" s="203" t="s">
        <v>7</v>
      </c>
      <c r="C41" s="92" t="str">
        <f t="shared" si="4"/>
        <v>RobertBRUNEL</v>
      </c>
      <c r="D41" s="105" t="s">
        <v>192</v>
      </c>
      <c r="E41" s="77">
        <v>74</v>
      </c>
      <c r="G41" s="101">
        <f>SMALL(Tableau6162432[BRUT],3)</f>
        <v>71</v>
      </c>
    </row>
    <row r="42" spans="1:7" ht="20.100000000000001" customHeight="1" x14ac:dyDescent="0.2">
      <c r="A42" s="200" t="s">
        <v>199</v>
      </c>
      <c r="B42" s="200" t="s">
        <v>60</v>
      </c>
      <c r="C42" s="92" t="str">
        <f t="shared" si="4"/>
        <v>MichelleCIBERT GOTHON</v>
      </c>
      <c r="D42" s="105" t="s">
        <v>193</v>
      </c>
      <c r="E42" s="77">
        <v>77</v>
      </c>
    </row>
    <row r="43" spans="1:7" ht="20.100000000000001" customHeight="1" x14ac:dyDescent="0.2">
      <c r="A43" s="200" t="s">
        <v>75</v>
      </c>
      <c r="B43" s="203" t="s">
        <v>273</v>
      </c>
      <c r="C43" s="92" t="str">
        <f t="shared" si="4"/>
        <v>Jean-MichelFAURIE</v>
      </c>
      <c r="D43" s="105" t="s">
        <v>192</v>
      </c>
      <c r="E43" s="77">
        <v>70</v>
      </c>
    </row>
    <row r="44" spans="1:7" ht="20.100000000000001" customHeight="1" x14ac:dyDescent="0.2">
      <c r="A44" s="200" t="s">
        <v>274</v>
      </c>
      <c r="B44" s="201" t="s">
        <v>275</v>
      </c>
      <c r="C44" s="92" t="str">
        <f t="shared" si="4"/>
        <v>MickaëlGUEGUEN</v>
      </c>
      <c r="D44" s="105" t="s">
        <v>192</v>
      </c>
      <c r="E44" s="77">
        <v>73</v>
      </c>
    </row>
    <row r="45" spans="1:7" ht="20.100000000000001" customHeight="1" x14ac:dyDescent="0.2">
      <c r="A45" s="200" t="s">
        <v>276</v>
      </c>
      <c r="B45" s="201" t="s">
        <v>71</v>
      </c>
      <c r="C45" s="92" t="str">
        <f t="shared" si="4"/>
        <v>ClaudeMERCIER</v>
      </c>
      <c r="D45" s="105" t="s">
        <v>192</v>
      </c>
      <c r="E45" s="77">
        <v>71</v>
      </c>
    </row>
    <row r="46" spans="1:7" ht="20.100000000000001" customHeight="1" x14ac:dyDescent="0.2">
      <c r="A46" s="200" t="s">
        <v>228</v>
      </c>
      <c r="B46" s="203" t="s">
        <v>79</v>
      </c>
      <c r="C46" s="92" t="str">
        <f t="shared" si="4"/>
        <v>Jean PierreMOUTREUX</v>
      </c>
      <c r="D46" s="105" t="s">
        <v>192</v>
      </c>
      <c r="E46" s="77">
        <v>82</v>
      </c>
    </row>
    <row r="47" spans="1:7" ht="20.100000000000001" customHeight="1" x14ac:dyDescent="0.2">
      <c r="A47" s="200" t="s">
        <v>277</v>
      </c>
      <c r="B47" s="203" t="s">
        <v>31</v>
      </c>
      <c r="C47" s="92" t="str">
        <f t="shared" si="4"/>
        <v>DanielVALLUY</v>
      </c>
      <c r="D47" s="105" t="s">
        <v>192</v>
      </c>
      <c r="E47" s="77">
        <v>73</v>
      </c>
    </row>
    <row r="48" spans="1:7" ht="20.100000000000001" customHeight="1" x14ac:dyDescent="0.2">
      <c r="A48" s="200" t="s">
        <v>231</v>
      </c>
      <c r="B48" s="203" t="s">
        <v>31</v>
      </c>
      <c r="C48" s="92" t="str">
        <f t="shared" si="4"/>
        <v>DanielVEDEL</v>
      </c>
      <c r="D48" s="105" t="s">
        <v>192</v>
      </c>
      <c r="E48" s="77">
        <v>68</v>
      </c>
      <c r="G48">
        <v>68</v>
      </c>
    </row>
    <row r="49" spans="1:7" ht="20.100000000000001" customHeight="1" x14ac:dyDescent="0.2">
      <c r="A49" s="80"/>
      <c r="B49" s="80"/>
      <c r="C49" s="92" t="str">
        <f t="shared" si="4"/>
        <v/>
      </c>
      <c r="D49" s="80"/>
      <c r="E49" s="80"/>
    </row>
    <row r="50" spans="1:7" ht="20.100000000000001" customHeight="1" x14ac:dyDescent="0.2">
      <c r="A50" s="80"/>
      <c r="B50" s="80"/>
      <c r="C50" s="92" t="str">
        <f t="shared" si="4"/>
        <v/>
      </c>
      <c r="D50" s="80"/>
      <c r="E50" s="80"/>
    </row>
    <row r="51" spans="1:7" ht="20.100000000000001" customHeight="1" thickBot="1" x14ac:dyDescent="0.25">
      <c r="A51" s="278" t="s">
        <v>8</v>
      </c>
      <c r="B51" s="279"/>
      <c r="C51" s="279"/>
      <c r="D51" s="279"/>
    </row>
    <row r="52" spans="1:7" ht="20.100000000000001" customHeight="1" thickBot="1" x14ac:dyDescent="0.25">
      <c r="A52" s="93" t="s">
        <v>180</v>
      </c>
      <c r="B52" s="94" t="s">
        <v>81</v>
      </c>
      <c r="C52" s="95" t="s">
        <v>186</v>
      </c>
      <c r="D52" s="95" t="s">
        <v>194</v>
      </c>
      <c r="E52" s="77" t="s">
        <v>181</v>
      </c>
      <c r="G52" s="100" t="s">
        <v>187</v>
      </c>
    </row>
    <row r="53" spans="1:7" ht="20.100000000000001" customHeight="1" x14ac:dyDescent="0.2">
      <c r="A53" s="194" t="s">
        <v>6</v>
      </c>
      <c r="B53" s="195" t="s">
        <v>7</v>
      </c>
      <c r="C53" s="92" t="str">
        <f t="shared" si="4"/>
        <v>RobertBOURGIER</v>
      </c>
      <c r="D53" s="105" t="s">
        <v>192</v>
      </c>
      <c r="E53" s="77">
        <v>72</v>
      </c>
      <c r="G53" s="101">
        <f>SMALL(Tableau7172533[BRUT],1)</f>
        <v>67</v>
      </c>
    </row>
    <row r="54" spans="1:7" ht="20.100000000000001" customHeight="1" x14ac:dyDescent="0.2">
      <c r="A54" s="194" t="s">
        <v>89</v>
      </c>
      <c r="B54" s="195" t="s">
        <v>90</v>
      </c>
      <c r="C54" s="92" t="str">
        <f t="shared" si="4"/>
        <v>GuyDE BREUVAND</v>
      </c>
      <c r="D54" s="105" t="s">
        <v>192</v>
      </c>
      <c r="E54" s="77">
        <v>72</v>
      </c>
      <c r="G54" s="101">
        <f>SMALL(Tableau7172533[BRUT],2)</f>
        <v>69</v>
      </c>
    </row>
    <row r="55" spans="1:7" ht="20.100000000000001" customHeight="1" x14ac:dyDescent="0.2">
      <c r="A55" s="194" t="s">
        <v>22</v>
      </c>
      <c r="B55" s="195" t="s">
        <v>23</v>
      </c>
      <c r="C55" s="92" t="str">
        <f t="shared" si="4"/>
        <v>MarcGRAVELIN</v>
      </c>
      <c r="D55" s="105" t="s">
        <v>192</v>
      </c>
      <c r="E55" s="77">
        <v>80</v>
      </c>
      <c r="G55" s="101">
        <f>SMALL(Tableau7172533[BRUT],3)</f>
        <v>69</v>
      </c>
    </row>
    <row r="56" spans="1:7" ht="20.100000000000001" customHeight="1" x14ac:dyDescent="0.2">
      <c r="A56" s="194" t="s">
        <v>109</v>
      </c>
      <c r="B56" s="195" t="s">
        <v>52</v>
      </c>
      <c r="C56" s="180" t="str">
        <f>TRIM(CONCATENATE(B56,A56))</f>
        <v>GillesJOSSIER</v>
      </c>
      <c r="D56" s="105" t="s">
        <v>192</v>
      </c>
      <c r="E56" s="77">
        <v>72</v>
      </c>
    </row>
    <row r="57" spans="1:7" ht="20.100000000000001" customHeight="1" x14ac:dyDescent="0.2">
      <c r="A57" s="194" t="s">
        <v>15</v>
      </c>
      <c r="B57" s="194" t="s">
        <v>144</v>
      </c>
      <c r="C57" s="180" t="str">
        <f t="shared" ref="C57:C58" si="5">TRIM(CONCATENATE(B57,A57))</f>
        <v>ChristianeLOUBAT</v>
      </c>
      <c r="D57" s="105" t="s">
        <v>193</v>
      </c>
      <c r="E57" s="77">
        <v>85</v>
      </c>
    </row>
    <row r="58" spans="1:7" ht="20.100000000000001" customHeight="1" x14ac:dyDescent="0.2">
      <c r="A58" s="194" t="s">
        <v>15</v>
      </c>
      <c r="B58" s="195" t="s">
        <v>16</v>
      </c>
      <c r="C58" s="180" t="str">
        <f t="shared" si="5"/>
        <v>JeanLOUBAT</v>
      </c>
      <c r="D58" s="105" t="s">
        <v>192</v>
      </c>
      <c r="E58" s="77">
        <v>67</v>
      </c>
    </row>
    <row r="59" spans="1:7" ht="20.100000000000001" customHeight="1" x14ac:dyDescent="0.2">
      <c r="A59" s="194" t="s">
        <v>42</v>
      </c>
      <c r="B59" s="195" t="s">
        <v>43</v>
      </c>
      <c r="C59" s="92" t="str">
        <f t="shared" si="4"/>
        <v>PierreNEYRIAL</v>
      </c>
      <c r="D59" s="105" t="s">
        <v>192</v>
      </c>
      <c r="E59" s="77">
        <v>69</v>
      </c>
    </row>
    <row r="60" spans="1:7" ht="20.100000000000001" customHeight="1" x14ac:dyDescent="0.2">
      <c r="A60" s="194" t="s">
        <v>38</v>
      </c>
      <c r="B60" s="194" t="s">
        <v>57</v>
      </c>
      <c r="C60" s="92" t="str">
        <f t="shared" si="4"/>
        <v>HuguettePERRIER</v>
      </c>
      <c r="D60" s="105" t="s">
        <v>193</v>
      </c>
      <c r="E60" s="77">
        <v>77</v>
      </c>
    </row>
    <row r="61" spans="1:7" ht="20.100000000000001" customHeight="1" x14ac:dyDescent="0.2">
      <c r="A61" s="206" t="s">
        <v>38</v>
      </c>
      <c r="B61" s="207" t="s">
        <v>39</v>
      </c>
      <c r="C61" s="92" t="str">
        <f t="shared" si="4"/>
        <v>SergePERRIER</v>
      </c>
      <c r="D61" s="105" t="s">
        <v>192</v>
      </c>
      <c r="E61" s="77">
        <v>69</v>
      </c>
    </row>
    <row r="62" spans="1:7" ht="20.100000000000001" customHeight="1" x14ac:dyDescent="0.2">
      <c r="A62" s="206" t="s">
        <v>133</v>
      </c>
      <c r="B62" s="207" t="s">
        <v>39</v>
      </c>
      <c r="C62" s="92" t="str">
        <f t="shared" si="4"/>
        <v>SergeROBERT</v>
      </c>
      <c r="D62" s="105" t="s">
        <v>192</v>
      </c>
      <c r="E62" s="77">
        <v>75</v>
      </c>
    </row>
    <row r="63" spans="1:7" ht="20.100000000000001" customHeight="1" x14ac:dyDescent="0.2">
      <c r="A63" s="80"/>
      <c r="B63" s="80"/>
      <c r="C63" s="92" t="str">
        <f t="shared" si="4"/>
        <v/>
      </c>
      <c r="D63" s="80"/>
      <c r="E63" s="89"/>
    </row>
    <row r="64" spans="1:7" ht="20.100000000000001" customHeight="1" x14ac:dyDescent="0.2">
      <c r="A64" s="80"/>
      <c r="B64" s="80"/>
      <c r="C64" s="92" t="str">
        <f t="shared" si="4"/>
        <v/>
      </c>
      <c r="D64" s="80"/>
      <c r="E64" s="80"/>
    </row>
    <row r="65" spans="1:7" ht="20.100000000000001" customHeight="1" thickBot="1" x14ac:dyDescent="0.25">
      <c r="A65" s="280" t="s">
        <v>74</v>
      </c>
      <c r="B65" s="281"/>
      <c r="C65" s="281"/>
      <c r="D65" s="281"/>
    </row>
    <row r="66" spans="1:7" ht="20.100000000000001" customHeight="1" thickBot="1" x14ac:dyDescent="0.25">
      <c r="A66" s="99" t="s">
        <v>180</v>
      </c>
      <c r="B66" s="94" t="s">
        <v>81</v>
      </c>
      <c r="C66" s="95" t="s">
        <v>186</v>
      </c>
      <c r="D66" s="95" t="s">
        <v>194</v>
      </c>
      <c r="E66" s="77" t="s">
        <v>181</v>
      </c>
      <c r="G66" s="100" t="s">
        <v>187</v>
      </c>
    </row>
    <row r="67" spans="1:7" ht="20.100000000000001" customHeight="1" x14ac:dyDescent="0.2">
      <c r="A67" s="197" t="s">
        <v>278</v>
      </c>
      <c r="B67" s="197" t="s">
        <v>142</v>
      </c>
      <c r="C67" s="92" t="str">
        <f t="shared" si="4"/>
        <v>CatherineBALAINE</v>
      </c>
      <c r="D67" s="105" t="s">
        <v>193</v>
      </c>
      <c r="E67" s="77">
        <v>85</v>
      </c>
      <c r="G67" s="101">
        <f>SMALL(Tableau8182634[BRUT],1)</f>
        <v>64</v>
      </c>
    </row>
    <row r="68" spans="1:7" ht="19.350000000000001" customHeight="1" x14ac:dyDescent="0.2">
      <c r="A68" s="197" t="s">
        <v>98</v>
      </c>
      <c r="B68" s="197" t="s">
        <v>99</v>
      </c>
      <c r="C68" s="92" t="str">
        <f t="shared" si="4"/>
        <v>MoniqueDOMY</v>
      </c>
      <c r="D68" s="105" t="s">
        <v>193</v>
      </c>
      <c r="E68" s="77">
        <v>68</v>
      </c>
      <c r="G68" s="101">
        <f>SMALL(Tableau8182634[BRUT],2)</f>
        <v>65</v>
      </c>
    </row>
    <row r="69" spans="1:7" ht="19.350000000000001" customHeight="1" x14ac:dyDescent="0.2">
      <c r="A69" s="197" t="s">
        <v>173</v>
      </c>
      <c r="B69" s="198" t="s">
        <v>174</v>
      </c>
      <c r="C69" s="92" t="str">
        <f t="shared" si="4"/>
        <v>ThierryJACQUEMOT</v>
      </c>
      <c r="D69" s="105" t="s">
        <v>192</v>
      </c>
      <c r="E69" s="77">
        <v>64</v>
      </c>
      <c r="G69" s="101">
        <f>SMALL(Tableau8182634[BRUT],3)</f>
        <v>68</v>
      </c>
    </row>
    <row r="70" spans="1:7" ht="20.100000000000001" customHeight="1" x14ac:dyDescent="0.2">
      <c r="A70" s="197" t="s">
        <v>29</v>
      </c>
      <c r="B70" s="198" t="s">
        <v>14</v>
      </c>
      <c r="C70" s="92" t="str">
        <f t="shared" si="4"/>
        <v>MichelLABAUNE</v>
      </c>
      <c r="D70" s="105" t="s">
        <v>192</v>
      </c>
      <c r="E70" s="77">
        <v>65</v>
      </c>
    </row>
    <row r="71" spans="1:7" ht="20.100000000000001" customHeight="1" x14ac:dyDescent="0.2">
      <c r="A71" s="197" t="s">
        <v>73</v>
      </c>
      <c r="B71" s="197" t="s">
        <v>66</v>
      </c>
      <c r="C71" s="92" t="str">
        <f t="shared" si="4"/>
        <v>MartineVACHOT</v>
      </c>
      <c r="D71" s="105" t="s">
        <v>193</v>
      </c>
      <c r="E71" s="77">
        <v>75</v>
      </c>
    </row>
    <row r="72" spans="1:7" ht="20.100000000000001" customHeight="1" x14ac:dyDescent="0.2">
      <c r="A72" s="105"/>
      <c r="B72" s="105"/>
      <c r="C72" s="105"/>
      <c r="D72" s="105"/>
      <c r="E72" s="98"/>
    </row>
    <row r="73" spans="1:7" ht="20.100000000000001" customHeight="1" x14ac:dyDescent="0.2">
      <c r="A73" s="80"/>
      <c r="B73" s="80"/>
      <c r="C73" s="92" t="str">
        <f t="shared" si="4"/>
        <v/>
      </c>
      <c r="D73" s="80"/>
      <c r="E73" s="80"/>
    </row>
    <row r="74" spans="1:7" ht="20.100000000000001" customHeight="1" x14ac:dyDescent="0.2">
      <c r="A74" s="80"/>
      <c r="B74" s="80"/>
      <c r="C74" s="92" t="str">
        <f t="shared" si="4"/>
        <v/>
      </c>
      <c r="D74" s="80"/>
      <c r="E74" s="80"/>
    </row>
    <row r="75" spans="1:7" ht="20.100000000000001" customHeight="1" thickBot="1" x14ac:dyDescent="0.25">
      <c r="A75" s="268" t="s">
        <v>26</v>
      </c>
      <c r="B75" s="269"/>
      <c r="C75" s="269"/>
      <c r="D75" s="269"/>
    </row>
    <row r="76" spans="1:7" ht="20.100000000000001" customHeight="1" thickBot="1" x14ac:dyDescent="0.25">
      <c r="A76" s="93" t="s">
        <v>180</v>
      </c>
      <c r="B76" s="94" t="s">
        <v>81</v>
      </c>
      <c r="C76" s="95" t="s">
        <v>186</v>
      </c>
      <c r="D76" s="95" t="s">
        <v>194</v>
      </c>
      <c r="E76" s="77" t="s">
        <v>181</v>
      </c>
      <c r="G76" s="100" t="s">
        <v>187</v>
      </c>
    </row>
    <row r="77" spans="1:7" ht="19.5" x14ac:dyDescent="0.2">
      <c r="A77" s="90" t="s">
        <v>122</v>
      </c>
      <c r="B77" s="90" t="s">
        <v>66</v>
      </c>
      <c r="C77" s="92" t="str">
        <f t="shared" si="4"/>
        <v>MartineMOUTH</v>
      </c>
      <c r="D77" s="105" t="s">
        <v>193</v>
      </c>
      <c r="E77" s="77">
        <v>85</v>
      </c>
      <c r="G77" s="101">
        <f>SMALL(Tableau9192735[BRUT],1)</f>
        <v>82</v>
      </c>
    </row>
    <row r="78" spans="1:7" ht="19.5" x14ac:dyDescent="0.2">
      <c r="A78" s="90" t="s">
        <v>116</v>
      </c>
      <c r="B78" s="90" t="s">
        <v>59</v>
      </c>
      <c r="C78" s="92" t="str">
        <f t="shared" si="4"/>
        <v>SylvieRUSZNIEWSKI</v>
      </c>
      <c r="D78" s="105" t="s">
        <v>193</v>
      </c>
      <c r="E78" s="77">
        <v>82</v>
      </c>
      <c r="G78" s="101">
        <f>SMALL(Tableau9192735[BRUT],2)</f>
        <v>85</v>
      </c>
    </row>
    <row r="79" spans="1:7" ht="19.5" x14ac:dyDescent="0.2">
      <c r="A79" s="90"/>
      <c r="B79" s="90"/>
      <c r="C79" s="92" t="str">
        <f t="shared" si="4"/>
        <v/>
      </c>
      <c r="D79" s="105" t="s">
        <v>193</v>
      </c>
      <c r="E79" s="78">
        <v>90</v>
      </c>
      <c r="G79" s="101">
        <f>SMALL(Tableau9192735[BRUT],3)</f>
        <v>90</v>
      </c>
    </row>
  </sheetData>
  <mergeCells count="12">
    <mergeCell ref="A75:D75"/>
    <mergeCell ref="A1:I1"/>
    <mergeCell ref="A3:D3"/>
    <mergeCell ref="J5:K5"/>
    <mergeCell ref="J10:K10"/>
    <mergeCell ref="A15:D15"/>
    <mergeCell ref="J16:K16"/>
    <mergeCell ref="J19:K19"/>
    <mergeCell ref="A29:D29"/>
    <mergeCell ref="A37:D37"/>
    <mergeCell ref="A51:D51"/>
    <mergeCell ref="A65:D65"/>
  </mergeCells>
  <dataValidations count="2">
    <dataValidation type="list" allowBlank="1" showInputMessage="1" showErrorMessage="1" sqref="A39:A48" xr:uid="{00000000-0002-0000-0500-000000000000}">
      <formula1>NOM</formula1>
    </dataValidation>
    <dataValidation type="list" allowBlank="1" showInputMessage="1" showErrorMessage="1" sqref="J17" xr:uid="{00000000-0002-0000-0500-000001000000}">
      <formula1>NOMBIS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U76"/>
  <sheetViews>
    <sheetView workbookViewId="0">
      <selection activeCell="D74" sqref="D74"/>
    </sheetView>
  </sheetViews>
  <sheetFormatPr baseColWidth="10" defaultRowHeight="12.75" x14ac:dyDescent="0.2"/>
  <cols>
    <col min="1" max="1" width="30.140625" bestFit="1" customWidth="1"/>
    <col min="2" max="2" width="19.140625" customWidth="1"/>
    <col min="3" max="3" width="13.140625" hidden="1" customWidth="1"/>
    <col min="4" max="4" width="4.7109375" customWidth="1"/>
    <col min="5" max="5" width="8.42578125" customWidth="1"/>
    <col min="6" max="6" width="8.7109375" customWidth="1"/>
    <col min="7" max="7" width="14.28515625" bestFit="1" customWidth="1"/>
    <col min="8" max="8" width="3" customWidth="1"/>
    <col min="9" max="9" width="3.7109375" customWidth="1"/>
    <col min="10" max="10" width="21.140625" customWidth="1"/>
    <col min="11" max="11" width="18" customWidth="1"/>
    <col min="12" max="12" width="15.28515625" customWidth="1"/>
    <col min="13" max="13" width="13" bestFit="1" customWidth="1"/>
    <col min="14" max="14" width="11" customWidth="1"/>
    <col min="15" max="15" width="12.85546875" hidden="1" customWidth="1"/>
    <col min="16" max="16" width="8.140625" hidden="1" customWidth="1"/>
    <col min="17" max="17" width="6.85546875" hidden="1" customWidth="1"/>
    <col min="18" max="18" width="4.85546875" customWidth="1"/>
    <col min="19" max="19" width="30.42578125" bestFit="1" customWidth="1"/>
    <col min="20" max="20" width="9.42578125" bestFit="1" customWidth="1"/>
    <col min="21" max="21" width="13" bestFit="1" customWidth="1"/>
  </cols>
  <sheetData>
    <row r="1" spans="1:21" ht="67.7" customHeight="1" thickBot="1" x14ac:dyDescent="0.25">
      <c r="A1" s="261" t="s">
        <v>208</v>
      </c>
      <c r="B1" s="262"/>
      <c r="C1" s="262"/>
      <c r="D1" s="262"/>
      <c r="E1" s="262"/>
      <c r="F1" s="262"/>
      <c r="G1" s="262"/>
      <c r="H1" s="262"/>
      <c r="I1" s="263"/>
    </row>
    <row r="3" spans="1:21" ht="20.25" thickBot="1" x14ac:dyDescent="0.25">
      <c r="A3" s="270" t="s">
        <v>13</v>
      </c>
      <c r="B3" s="271"/>
      <c r="C3" s="271"/>
      <c r="D3" s="271"/>
    </row>
    <row r="4" spans="1:21" ht="20.100000000000001" customHeight="1" thickBot="1" x14ac:dyDescent="0.25">
      <c r="A4" s="93" t="s">
        <v>180</v>
      </c>
      <c r="B4" s="94" t="s">
        <v>81</v>
      </c>
      <c r="C4" s="95" t="s">
        <v>186</v>
      </c>
      <c r="D4" s="95" t="s">
        <v>194</v>
      </c>
      <c r="E4" s="77" t="s">
        <v>181</v>
      </c>
      <c r="G4" s="100" t="s">
        <v>187</v>
      </c>
    </row>
    <row r="5" spans="1:21" ht="20.100000000000001" customHeight="1" x14ac:dyDescent="0.2">
      <c r="A5" s="202" t="s">
        <v>11</v>
      </c>
      <c r="B5" s="203" t="s">
        <v>12</v>
      </c>
      <c r="C5" s="92" t="str">
        <f>TRIM(CONCATENATE(B5,A5))</f>
        <v>AlainJEANDREAU</v>
      </c>
      <c r="D5" s="105" t="s">
        <v>192</v>
      </c>
      <c r="E5" s="77">
        <v>58</v>
      </c>
      <c r="G5" s="101">
        <f>SMALL(Tableau313212937[BRUT],1)</f>
        <v>54</v>
      </c>
      <c r="J5" s="264" t="s">
        <v>189</v>
      </c>
      <c r="K5" s="265"/>
      <c r="L5" s="125" t="s">
        <v>190</v>
      </c>
      <c r="M5" s="103" t="s">
        <v>191</v>
      </c>
    </row>
    <row r="6" spans="1:21" ht="20.100000000000001" customHeight="1" x14ac:dyDescent="0.2">
      <c r="A6" s="202" t="s">
        <v>182</v>
      </c>
      <c r="B6" s="203" t="s">
        <v>183</v>
      </c>
      <c r="C6" s="92" t="str">
        <f t="shared" ref="C6:C14" si="0">TRIM(CONCATENATE(B6,A6))</f>
        <v>RolandJUHLIEN</v>
      </c>
      <c r="D6" s="105" t="s">
        <v>192</v>
      </c>
      <c r="E6" s="77">
        <v>61</v>
      </c>
      <c r="G6" s="101">
        <f>SMALL(Tableau313212937[BRUT],2)</f>
        <v>55</v>
      </c>
      <c r="J6" s="107" t="str">
        <f t="array" ref="J6">IFERROR(INDEX(A$5:A$99, MATCH(1, (D$5:D$99="F")*(E$5:E$99=L6)*(COUNTIF(J$5:J5,A$5:A$99)=0), 0)),"")</f>
        <v>VESCOVI</v>
      </c>
      <c r="K6" s="107" t="str">
        <f t="array" ref="K6">IFERROR(INDEX(B$5:B$99, MATCH(1, (D$5:D$99="F")*(E$5:E$99=L6)*(COUNTIF(L$5:L5,E$5:E$99)=0), 0)),"")</f>
        <v>Régine</v>
      </c>
      <c r="L6" s="126">
        <f t="array" ref="L6">IFERROR(SMALL(IF(D$6:D$99="F",E$6:E$99), ROW(A1)),"")</f>
        <v>66</v>
      </c>
      <c r="M6" s="104">
        <v>1</v>
      </c>
      <c r="O6" s="120" t="s">
        <v>201</v>
      </c>
      <c r="P6" s="121" t="s">
        <v>202</v>
      </c>
      <c r="Q6" s="122" t="s">
        <v>191</v>
      </c>
      <c r="S6" s="116" t="s">
        <v>201</v>
      </c>
      <c r="T6" s="128" t="s">
        <v>202</v>
      </c>
      <c r="U6" s="118" t="s">
        <v>191</v>
      </c>
    </row>
    <row r="7" spans="1:21" ht="20.100000000000001" customHeight="1" x14ac:dyDescent="0.2">
      <c r="A7" s="202" t="s">
        <v>51</v>
      </c>
      <c r="B7" s="203" t="s">
        <v>44</v>
      </c>
      <c r="C7" s="92" t="str">
        <f t="shared" si="0"/>
        <v>JackyMACHAJ</v>
      </c>
      <c r="D7" s="105" t="s">
        <v>192</v>
      </c>
      <c r="E7" s="77">
        <v>55</v>
      </c>
      <c r="G7" s="101">
        <f>SMALL(Tableau313212937[BRUT],3)</f>
        <v>58</v>
      </c>
      <c r="J7" s="108" t="str">
        <f t="array" ref="J7">IFERROR(INDEX(A$6:A$99, MATCH(1, (D$6:D$99="F")*(E$6:E$99=L7)*(COUNTIF(J$5:J6,A$6:A$99)=0), 0)),"")</f>
        <v>ROUSSEAU</v>
      </c>
      <c r="K7" s="108" t="str">
        <f t="array" ref="K7">IFERROR(INDEX(B$6:B$99, MATCH(1, (D$6:D$99="F")*(E$6:E$99=L7)*(COUNTIF(K$5:K6,B$6:B$99)=0), 0)),"")</f>
        <v>Maryline</v>
      </c>
      <c r="L7" s="126">
        <f t="array" ref="L7">IFERROR(SMALL(IF((D$5:D$99="F")*(COUNTIF(L$5:L5,E$5:E$99)=0), E$5:E$99), ROW(A2)),"")</f>
        <v>67</v>
      </c>
      <c r="M7" s="104">
        <v>2</v>
      </c>
      <c r="O7" s="119" t="str">
        <f>A3</f>
        <v>RIOM</v>
      </c>
      <c r="P7" s="114">
        <f>SUM(G5:G7)</f>
        <v>167</v>
      </c>
      <c r="Q7" s="104">
        <f>RANK(P7, P$7:P$13, 1) + COUNTIF(P$7:P7, P7) - 1</f>
        <v>1</v>
      </c>
      <c r="S7" s="117" t="str">
        <f>INDEX(O$7:O$13, MATCH(ROW(A1), Q$7:Q$13, 0))</f>
        <v>RIOM</v>
      </c>
      <c r="T7" s="129">
        <f>INDEX(P$7:P$13, MATCH(ROW(A1), Q$7:Q$13, 0))</f>
        <v>167</v>
      </c>
      <c r="U7" s="104">
        <f>ROW(A1)</f>
        <v>1</v>
      </c>
    </row>
    <row r="8" spans="1:21" ht="20.100000000000001" customHeight="1" x14ac:dyDescent="0.2">
      <c r="A8" s="202" t="s">
        <v>49</v>
      </c>
      <c r="B8" s="203" t="s">
        <v>50</v>
      </c>
      <c r="C8" s="180" t="str">
        <f>TRIM(CONCATENATE(B8,A8))</f>
        <v>ChristianMOULIN</v>
      </c>
      <c r="D8" s="105" t="s">
        <v>192</v>
      </c>
      <c r="E8" s="77">
        <v>54</v>
      </c>
      <c r="O8" s="119" t="str">
        <f>A15</f>
        <v>GAZELEC CLERMONT</v>
      </c>
      <c r="P8" s="114">
        <f>SUM(G17:G19)</f>
        <v>185</v>
      </c>
      <c r="Q8" s="104">
        <f>RANK(P8, P$7:P$13, 1) + COUNTIF(P$7:P8, P8) - 1</f>
        <v>2</v>
      </c>
      <c r="S8" s="117" t="str">
        <f t="shared" ref="S8:S13" si="1">INDEX(O$7:O$13, MATCH(ROW(A2), Q$7:Q$13, 0))</f>
        <v>GAZELEC CLERMONT</v>
      </c>
      <c r="T8" s="129">
        <f t="shared" ref="T8:T13" si="2">INDEX(P$7:P$13, MATCH(ROW(A2), Q$7:Q$13, 0))</f>
        <v>185</v>
      </c>
      <c r="U8" s="104">
        <f t="shared" ref="U8:U13" si="3">ROW(A2)</f>
        <v>2</v>
      </c>
    </row>
    <row r="9" spans="1:21" ht="20.100000000000001" customHeight="1" x14ac:dyDescent="0.2">
      <c r="A9" s="202" t="s">
        <v>138</v>
      </c>
      <c r="B9" s="203" t="s">
        <v>44</v>
      </c>
      <c r="C9" s="180" t="str">
        <f>TRIM(CONCATENATE(B9,A9))</f>
        <v>JackyPEGEON</v>
      </c>
      <c r="D9" s="105" t="s">
        <v>192</v>
      </c>
      <c r="E9" s="77">
        <v>73</v>
      </c>
      <c r="O9" s="119" t="str">
        <f>A27</f>
        <v>GAZELEC MOULINS/VICHY</v>
      </c>
      <c r="P9" s="114">
        <f>SUM(G29:G31)</f>
        <v>270</v>
      </c>
      <c r="Q9" s="104">
        <f>RANK(P9, P$7:P$13, 1) + COUNTIF(P$7:P9, P9) - 1</f>
        <v>7</v>
      </c>
      <c r="S9" s="117" t="str">
        <f t="shared" si="1"/>
        <v>VAL D'AUZON</v>
      </c>
      <c r="T9" s="129">
        <f t="shared" si="2"/>
        <v>190</v>
      </c>
      <c r="U9" s="104">
        <f t="shared" si="3"/>
        <v>3</v>
      </c>
    </row>
    <row r="10" spans="1:21" ht="20.100000000000001" customHeight="1" x14ac:dyDescent="0.2">
      <c r="A10" s="202" t="s">
        <v>53</v>
      </c>
      <c r="B10" s="202" t="s">
        <v>58</v>
      </c>
      <c r="C10" s="92" t="str">
        <f t="shared" si="0"/>
        <v>AnnieROSSI</v>
      </c>
      <c r="D10" s="105" t="s">
        <v>193</v>
      </c>
      <c r="E10" s="77">
        <v>85</v>
      </c>
      <c r="J10" s="264" t="s">
        <v>195</v>
      </c>
      <c r="K10" s="265"/>
      <c r="L10" s="125" t="s">
        <v>190</v>
      </c>
      <c r="M10" s="103" t="s">
        <v>191</v>
      </c>
      <c r="O10" s="119" t="str">
        <f>A35</f>
        <v>VAL D'AUZON</v>
      </c>
      <c r="P10" s="114">
        <f>SUM(G37:G39)</f>
        <v>190</v>
      </c>
      <c r="Q10" s="104">
        <f>RANK(P10, P$7:P$13, 1) + COUNTIF(P$7:P10, P10) - 1</f>
        <v>3</v>
      </c>
      <c r="S10" s="117" t="str">
        <f t="shared" si="1"/>
        <v>CHARADE</v>
      </c>
      <c r="T10" s="129">
        <f t="shared" si="2"/>
        <v>194</v>
      </c>
      <c r="U10" s="104">
        <f t="shared" si="3"/>
        <v>4</v>
      </c>
    </row>
    <row r="11" spans="1:21" ht="20.100000000000001" customHeight="1" x14ac:dyDescent="0.2">
      <c r="A11" s="202" t="s">
        <v>281</v>
      </c>
      <c r="B11" s="202" t="s">
        <v>282</v>
      </c>
      <c r="C11" s="92" t="str">
        <f t="shared" si="0"/>
        <v>MarylineROUSSEAU</v>
      </c>
      <c r="D11" s="105" t="s">
        <v>193</v>
      </c>
      <c r="E11" s="77">
        <v>67</v>
      </c>
      <c r="J11" s="109" t="str">
        <f t="array" ref="J11">IFERROR(INDEX(A$5:A$99, MATCH(1, (D$5:D$99="M")*(E$5:E$99=L11)*(COUNTIF(J$10:J10,A$5:A$99)=0), 0)),"")</f>
        <v>MOULIN</v>
      </c>
      <c r="K11" s="109" t="str">
        <f t="array" ref="K11">IFERROR(INDEX(B$5:B$99, MATCH(1, (D$5:D$99="M")*(E$5:E$99=L11)*(COUNTIF(L$10:L10,E$5:E$99)=0), 0)),"")</f>
        <v>Christian</v>
      </c>
      <c r="L11" s="127">
        <f t="array" ref="L11">IFERROR(SMALL(IF(D$5:D$99="M",E$5:E$99), ROW(A1)),"")</f>
        <v>54</v>
      </c>
      <c r="M11" s="106">
        <v>1</v>
      </c>
      <c r="O11" s="119" t="str">
        <f>A47</f>
        <v>CHARADE</v>
      </c>
      <c r="P11" s="114">
        <f>SUM(G49:G51)</f>
        <v>194</v>
      </c>
      <c r="Q11" s="104">
        <f>RANK(P11, P$7:P$13, 1) + COUNTIF(P$7:P11, P11) - 1</f>
        <v>4</v>
      </c>
      <c r="S11" s="117" t="str">
        <f t="shared" si="1"/>
        <v>MAURIAC</v>
      </c>
      <c r="T11" s="129">
        <f t="shared" si="2"/>
        <v>195</v>
      </c>
      <c r="U11" s="104">
        <f t="shared" si="3"/>
        <v>5</v>
      </c>
    </row>
    <row r="12" spans="1:21" ht="20.100000000000001" customHeight="1" x14ac:dyDescent="0.2">
      <c r="A12" s="202" t="s">
        <v>152</v>
      </c>
      <c r="B12" s="203" t="s">
        <v>24</v>
      </c>
      <c r="C12" s="92" t="str">
        <f t="shared" si="0"/>
        <v>Jean LouisSANITAS</v>
      </c>
      <c r="D12" s="105" t="s">
        <v>192</v>
      </c>
      <c r="E12" s="77">
        <v>64</v>
      </c>
      <c r="J12" s="109" t="str">
        <f t="array" ref="J12">IFERROR(INDEX(A$5:A$99, MATCH(1, (D$5:D$99="M")*(E$5:E$99=L12)*(COUNTIF(J$10:J11,A$5:A$99)=0), 0)),"")</f>
        <v>MACHAJ</v>
      </c>
      <c r="K12" s="109" t="str">
        <f t="array" ref="K12">IFERROR(INDEX(B$5:B$99, MATCH(1, (D$5:D$99="M")*(E$5:E$99=L12)*(COUNTIF(K$10:K11,B$5:B$99)=0), 0)),"")</f>
        <v>Jacky</v>
      </c>
      <c r="L12" s="127">
        <f t="array" ref="L12">IFERROR(SMALL(IF(D$5:D$99="M",E$5:E$99), ROW(A2)),"")</f>
        <v>55</v>
      </c>
      <c r="M12" s="106">
        <v>2</v>
      </c>
      <c r="O12" s="119" t="str">
        <f>A59</f>
        <v>MAURIAC</v>
      </c>
      <c r="P12" s="114">
        <f>SUM(G61:G63)</f>
        <v>195</v>
      </c>
      <c r="Q12" s="104">
        <f>RANK(P12, P$7:P$13, 1) + COUNTIF(P$7:P12, P12) - 1</f>
        <v>5</v>
      </c>
      <c r="S12" s="117" t="str">
        <f t="shared" si="1"/>
        <v>MONTPENSIER</v>
      </c>
      <c r="T12" s="129">
        <f t="shared" si="2"/>
        <v>228</v>
      </c>
      <c r="U12" s="104">
        <f t="shared" si="3"/>
        <v>6</v>
      </c>
    </row>
    <row r="13" spans="1:21" ht="20.100000000000001" customHeight="1" x14ac:dyDescent="0.2">
      <c r="A13" s="80"/>
      <c r="B13" s="80"/>
      <c r="C13" s="92" t="str">
        <f t="shared" si="0"/>
        <v/>
      </c>
      <c r="D13" s="80"/>
      <c r="E13" s="80"/>
      <c r="J13" s="109" t="str">
        <f t="array" ref="J13">IFERROR(INDEX(A$5:A$99, MATCH(1, (D$5:D$99="M")*(E$5:E$99=L13)*(COUNTIF(J$10:J12,A$5:A$99)=0), 0)),"")</f>
        <v>VESCOVI</v>
      </c>
      <c r="K13" s="109" t="str">
        <f t="array" ref="K13">IFERROR(INDEX(B$6:B$99, MATCH(1, (D$6:D$99="M")*(E$6:E$99=L13)*(COUNTIF(K$10:K12,B$6:B$99)=0), 0)),"")</f>
        <v>Gilles</v>
      </c>
      <c r="L13" s="127">
        <f t="array" ref="L13">IFERROR(SMALL(IF(D$5:D$99="M",E$5:E$99), ROW(A3)),"")</f>
        <v>56</v>
      </c>
      <c r="M13" s="106">
        <v>3</v>
      </c>
      <c r="O13" s="123" t="str">
        <f>A70</f>
        <v>MONTPENSIER</v>
      </c>
      <c r="P13" s="124">
        <f>SUM(G72:G74)</f>
        <v>228</v>
      </c>
      <c r="Q13" s="104">
        <f>RANK(P13, P$7:P$13, 1) + COUNTIF(P$7:P13, P13) - 1</f>
        <v>6</v>
      </c>
      <c r="S13" s="117" t="str">
        <f t="shared" si="1"/>
        <v>GAZELEC MOULINS/VICHY</v>
      </c>
      <c r="T13" s="129">
        <f t="shared" si="2"/>
        <v>270</v>
      </c>
      <c r="U13" s="104">
        <f t="shared" si="3"/>
        <v>7</v>
      </c>
    </row>
    <row r="14" spans="1:21" ht="20.100000000000001" customHeight="1" x14ac:dyDescent="0.2">
      <c r="A14" s="80"/>
      <c r="B14" s="80"/>
      <c r="C14" s="92" t="str">
        <f t="shared" si="0"/>
        <v/>
      </c>
      <c r="D14" s="80"/>
      <c r="E14" s="80"/>
    </row>
    <row r="15" spans="1:21" ht="20.100000000000001" customHeight="1" x14ac:dyDescent="0.2">
      <c r="A15" s="272" t="s">
        <v>130</v>
      </c>
      <c r="B15" s="273"/>
      <c r="C15" s="273"/>
      <c r="D15" s="273"/>
    </row>
    <row r="16" spans="1:21" ht="20.100000000000001" customHeight="1" thickBot="1" x14ac:dyDescent="0.25">
      <c r="A16" s="93" t="s">
        <v>180</v>
      </c>
      <c r="B16" s="94" t="s">
        <v>81</v>
      </c>
      <c r="C16" s="95" t="s">
        <v>186</v>
      </c>
      <c r="D16" s="95" t="s">
        <v>194</v>
      </c>
      <c r="E16" s="77" t="s">
        <v>181</v>
      </c>
      <c r="G16" s="100" t="s">
        <v>187</v>
      </c>
      <c r="J16" s="266" t="s">
        <v>196</v>
      </c>
      <c r="K16" s="267"/>
      <c r="L16" s="102" t="s">
        <v>197</v>
      </c>
      <c r="M16" s="110" t="s">
        <v>290</v>
      </c>
    </row>
    <row r="17" spans="1:13" ht="20.100000000000001" customHeight="1" x14ac:dyDescent="0.2">
      <c r="A17" s="205" t="s">
        <v>20</v>
      </c>
      <c r="B17" s="203" t="s">
        <v>283</v>
      </c>
      <c r="C17" s="92" t="str">
        <f t="shared" ref="C17:C76" si="4">TRIM(CONCATENATE(B17,A17))</f>
        <v>Gérard CAMBET</v>
      </c>
      <c r="D17" s="105" t="s">
        <v>192</v>
      </c>
      <c r="E17" s="77">
        <v>63</v>
      </c>
      <c r="G17" s="101">
        <f>SMALL(Tableau414223038[BRUT],1)</f>
        <v>56</v>
      </c>
      <c r="J17" s="107" t="s">
        <v>84</v>
      </c>
      <c r="K17" s="107" t="s">
        <v>78</v>
      </c>
      <c r="L17" s="111">
        <v>1.2</v>
      </c>
      <c r="M17" s="80"/>
    </row>
    <row r="18" spans="1:13" ht="20.100000000000001" customHeight="1" x14ac:dyDescent="0.2">
      <c r="A18" s="205" t="s">
        <v>169</v>
      </c>
      <c r="B18" s="203" t="s">
        <v>39</v>
      </c>
      <c r="C18" s="92" t="str">
        <f t="shared" si="4"/>
        <v>SergeFONTANON</v>
      </c>
      <c r="D18" s="105" t="s">
        <v>192</v>
      </c>
      <c r="E18" s="77">
        <v>73</v>
      </c>
      <c r="G18" s="101">
        <f>SMALL(Tableau414223038[BRUT],2)</f>
        <v>63</v>
      </c>
      <c r="J18" s="112"/>
      <c r="K18" s="112"/>
      <c r="L18" s="112"/>
      <c r="M18" s="80"/>
    </row>
    <row r="19" spans="1:13" ht="20.100000000000001" customHeight="1" x14ac:dyDescent="0.2">
      <c r="A19" s="205" t="s">
        <v>92</v>
      </c>
      <c r="B19" s="203" t="s">
        <v>52</v>
      </c>
      <c r="C19" s="92" t="str">
        <f t="shared" si="4"/>
        <v>GillesFROMAGE</v>
      </c>
      <c r="D19" s="105" t="s">
        <v>192</v>
      </c>
      <c r="E19" s="77">
        <v>71</v>
      </c>
      <c r="G19" s="101">
        <f>SMALL(Tableau414223038[BRUT],3)</f>
        <v>66</v>
      </c>
      <c r="J19" s="266" t="s">
        <v>200</v>
      </c>
      <c r="K19" s="267"/>
      <c r="L19" s="102" t="s">
        <v>197</v>
      </c>
      <c r="M19" s="113" t="s">
        <v>290</v>
      </c>
    </row>
    <row r="20" spans="1:13" ht="20.100000000000001" customHeight="1" x14ac:dyDescent="0.2">
      <c r="A20" s="205" t="s">
        <v>284</v>
      </c>
      <c r="B20" s="201" t="s">
        <v>18</v>
      </c>
      <c r="C20" s="92" t="str">
        <f t="shared" si="4"/>
        <v>Jean MarcHESEL</v>
      </c>
      <c r="D20" s="105" t="s">
        <v>192</v>
      </c>
      <c r="E20" s="77">
        <v>69</v>
      </c>
      <c r="J20" s="109" t="s">
        <v>20</v>
      </c>
      <c r="K20" s="109" t="s">
        <v>21</v>
      </c>
      <c r="L20" s="114">
        <v>0.33</v>
      </c>
      <c r="M20" s="115"/>
    </row>
    <row r="21" spans="1:13" ht="20.100000000000001" customHeight="1" x14ac:dyDescent="0.2">
      <c r="A21" s="205" t="s">
        <v>65</v>
      </c>
      <c r="B21" s="201" t="s">
        <v>14</v>
      </c>
      <c r="C21" s="92" t="str">
        <f t="shared" si="4"/>
        <v>MichelMANOUVRIER</v>
      </c>
      <c r="D21" s="105" t="s">
        <v>192</v>
      </c>
      <c r="E21" s="77">
        <v>80</v>
      </c>
    </row>
    <row r="22" spans="1:13" ht="20.100000000000001" customHeight="1" x14ac:dyDescent="0.2">
      <c r="A22" s="205" t="s">
        <v>67</v>
      </c>
      <c r="B22" s="205" t="s">
        <v>68</v>
      </c>
      <c r="C22" s="92" t="str">
        <f t="shared" si="4"/>
        <v>CorinneTIXIER</v>
      </c>
      <c r="D22" s="105" t="s">
        <v>193</v>
      </c>
      <c r="E22" s="77">
        <v>85</v>
      </c>
    </row>
    <row r="23" spans="1:13" ht="20.100000000000001" customHeight="1" x14ac:dyDescent="0.2">
      <c r="A23" s="205" t="s">
        <v>86</v>
      </c>
      <c r="B23" s="201" t="s">
        <v>52</v>
      </c>
      <c r="C23" s="92" t="str">
        <f t="shared" si="4"/>
        <v>GillesVESCOVI</v>
      </c>
      <c r="D23" s="105" t="s">
        <v>192</v>
      </c>
      <c r="E23" s="77">
        <v>56</v>
      </c>
    </row>
    <row r="24" spans="1:13" ht="20.100000000000001" customHeight="1" x14ac:dyDescent="0.2">
      <c r="A24" s="205" t="s">
        <v>86</v>
      </c>
      <c r="B24" s="205" t="s">
        <v>95</v>
      </c>
      <c r="C24" s="92" t="str">
        <f t="shared" si="4"/>
        <v>RégineVESCOVI</v>
      </c>
      <c r="D24" s="105" t="s">
        <v>193</v>
      </c>
      <c r="E24" s="77">
        <v>66</v>
      </c>
    </row>
    <row r="25" spans="1:13" ht="20.100000000000001" customHeight="1" x14ac:dyDescent="0.2">
      <c r="A25" s="80"/>
      <c r="B25" s="80"/>
      <c r="C25" s="92" t="str">
        <f t="shared" si="4"/>
        <v/>
      </c>
      <c r="D25" s="80"/>
      <c r="E25" s="80"/>
    </row>
    <row r="26" spans="1:13" ht="20.100000000000001" customHeight="1" x14ac:dyDescent="0.2">
      <c r="A26" s="80"/>
      <c r="B26" s="80"/>
      <c r="C26" s="92" t="str">
        <f t="shared" si="4"/>
        <v/>
      </c>
      <c r="D26" s="80"/>
      <c r="E26" s="80"/>
    </row>
    <row r="27" spans="1:13" ht="20.100000000000001" customHeight="1" x14ac:dyDescent="0.2">
      <c r="A27" s="274" t="s">
        <v>184</v>
      </c>
      <c r="B27" s="275"/>
      <c r="C27" s="275"/>
      <c r="D27" s="275"/>
    </row>
    <row r="28" spans="1:13" ht="20.100000000000001" customHeight="1" thickBot="1" x14ac:dyDescent="0.25">
      <c r="A28" s="93" t="s">
        <v>180</v>
      </c>
      <c r="B28" s="94" t="s">
        <v>81</v>
      </c>
      <c r="C28" s="95" t="s">
        <v>186</v>
      </c>
      <c r="D28" s="95" t="s">
        <v>194</v>
      </c>
      <c r="E28" s="77" t="s">
        <v>181</v>
      </c>
      <c r="G28" s="100" t="s">
        <v>187</v>
      </c>
    </row>
    <row r="29" spans="1:13" ht="20.100000000000001" customHeight="1" x14ac:dyDescent="0.2">
      <c r="A29" s="83"/>
      <c r="B29" s="83"/>
      <c r="C29" s="92" t="str">
        <f t="shared" si="4"/>
        <v/>
      </c>
      <c r="D29" s="105"/>
      <c r="E29" s="84">
        <v>90</v>
      </c>
      <c r="G29" s="101">
        <f>SMALL(Tableau515233139[BRUT],1)</f>
        <v>90</v>
      </c>
    </row>
    <row r="30" spans="1:13" ht="20.100000000000001" customHeight="1" x14ac:dyDescent="0.2">
      <c r="A30" s="83"/>
      <c r="B30" s="83"/>
      <c r="C30" s="92" t="str">
        <f t="shared" si="4"/>
        <v/>
      </c>
      <c r="D30" s="105"/>
      <c r="E30" s="78">
        <v>90</v>
      </c>
      <c r="G30" s="101">
        <f>SMALL(Tableau515233139[BRUT],2)</f>
        <v>90</v>
      </c>
    </row>
    <row r="31" spans="1:13" ht="20.100000000000001" customHeight="1" x14ac:dyDescent="0.2">
      <c r="A31" s="85"/>
      <c r="B31" s="83"/>
      <c r="C31" s="92" t="str">
        <f t="shared" si="4"/>
        <v/>
      </c>
      <c r="D31" s="105"/>
      <c r="E31" s="78">
        <v>90</v>
      </c>
      <c r="G31" s="101">
        <f>SMALL(Tableau515233139[BRUT],3)</f>
        <v>90</v>
      </c>
    </row>
    <row r="32" spans="1:13" ht="20.100000000000001" customHeight="1" x14ac:dyDescent="0.2">
      <c r="A32" s="85"/>
      <c r="B32" s="83"/>
      <c r="C32" s="92" t="str">
        <f t="shared" si="4"/>
        <v/>
      </c>
      <c r="D32" s="105"/>
      <c r="E32" s="78">
        <v>90</v>
      </c>
    </row>
    <row r="33" spans="1:7" ht="20.100000000000001" customHeight="1" x14ac:dyDescent="0.2">
      <c r="A33" s="80"/>
      <c r="B33" s="80"/>
      <c r="C33" s="92" t="str">
        <f t="shared" si="4"/>
        <v/>
      </c>
      <c r="D33" s="80"/>
      <c r="E33" s="80"/>
    </row>
    <row r="34" spans="1:7" ht="20.100000000000001" customHeight="1" x14ac:dyDescent="0.2">
      <c r="A34" s="80"/>
      <c r="B34" s="80"/>
      <c r="C34" s="92" t="str">
        <f t="shared" si="4"/>
        <v/>
      </c>
      <c r="D34" s="80"/>
      <c r="E34" s="80"/>
    </row>
    <row r="35" spans="1:7" ht="20.100000000000001" customHeight="1" thickBot="1" x14ac:dyDescent="0.25">
      <c r="A35" s="276" t="s">
        <v>19</v>
      </c>
      <c r="B35" s="277"/>
      <c r="C35" s="277"/>
      <c r="D35" s="277"/>
    </row>
    <row r="36" spans="1:7" ht="20.100000000000001" customHeight="1" thickBot="1" x14ac:dyDescent="0.25">
      <c r="A36" s="93" t="s">
        <v>180</v>
      </c>
      <c r="B36" s="94" t="s">
        <v>81</v>
      </c>
      <c r="C36" s="95" t="s">
        <v>186</v>
      </c>
      <c r="D36" s="95" t="s">
        <v>194</v>
      </c>
      <c r="E36" s="77" t="s">
        <v>181</v>
      </c>
      <c r="G36" s="100" t="s">
        <v>187</v>
      </c>
    </row>
    <row r="37" spans="1:7" ht="20.100000000000001" customHeight="1" x14ac:dyDescent="0.2">
      <c r="A37" s="200" t="s">
        <v>254</v>
      </c>
      <c r="B37" s="203" t="s">
        <v>25</v>
      </c>
      <c r="C37" s="92" t="str">
        <f t="shared" si="4"/>
        <v>JacquesANAVOISARD</v>
      </c>
      <c r="D37" s="105" t="s">
        <v>192</v>
      </c>
      <c r="E37" s="77">
        <v>68</v>
      </c>
      <c r="G37" s="101">
        <f>SMALL(Tableau616243240[BRUT],1)</f>
        <v>62</v>
      </c>
    </row>
    <row r="38" spans="1:7" ht="20.100000000000001" customHeight="1" x14ac:dyDescent="0.2">
      <c r="A38" s="208" t="s">
        <v>120</v>
      </c>
      <c r="B38" s="201" t="s">
        <v>285</v>
      </c>
      <c r="C38" s="92" t="str">
        <f t="shared" si="4"/>
        <v>Jean-LucBABUT</v>
      </c>
      <c r="D38" s="105" t="s">
        <v>192</v>
      </c>
      <c r="E38" s="77">
        <v>68</v>
      </c>
      <c r="G38" s="101">
        <f>SMALL(Tableau616243240[BRUT],2)</f>
        <v>64</v>
      </c>
    </row>
    <row r="39" spans="1:7" ht="20.100000000000001" customHeight="1" x14ac:dyDescent="0.2">
      <c r="A39" s="200" t="s">
        <v>221</v>
      </c>
      <c r="B39" s="203" t="s">
        <v>7</v>
      </c>
      <c r="C39" s="92" t="str">
        <f t="shared" si="4"/>
        <v>RobertBRUNEL</v>
      </c>
      <c r="D39" s="105" t="s">
        <v>192</v>
      </c>
      <c r="E39" s="77">
        <v>64</v>
      </c>
      <c r="G39" s="101">
        <f>SMALL(Tableau616243240[BRUT],3)</f>
        <v>64</v>
      </c>
    </row>
    <row r="40" spans="1:7" ht="20.100000000000001" customHeight="1" x14ac:dyDescent="0.2">
      <c r="A40" s="200" t="s">
        <v>224</v>
      </c>
      <c r="B40" s="203" t="s">
        <v>47</v>
      </c>
      <c r="C40" s="92" t="str">
        <f t="shared" si="4"/>
        <v>PhilippeCUVIER</v>
      </c>
      <c r="D40" s="105" t="s">
        <v>192</v>
      </c>
      <c r="E40" s="77">
        <v>65</v>
      </c>
    </row>
    <row r="41" spans="1:7" ht="20.100000000000001" customHeight="1" x14ac:dyDescent="0.2">
      <c r="A41" s="200" t="s">
        <v>286</v>
      </c>
      <c r="B41" s="203" t="s">
        <v>273</v>
      </c>
      <c r="C41" s="92" t="str">
        <f t="shared" si="4"/>
        <v>Jean-MichelFAURIE</v>
      </c>
      <c r="D41" s="105" t="s">
        <v>192</v>
      </c>
      <c r="E41" s="77">
        <v>68</v>
      </c>
    </row>
    <row r="42" spans="1:7" ht="20.100000000000001" customHeight="1" x14ac:dyDescent="0.2">
      <c r="A42" s="200" t="s">
        <v>274</v>
      </c>
      <c r="B42" s="203" t="s">
        <v>275</v>
      </c>
      <c r="C42" s="92" t="str">
        <f t="shared" si="4"/>
        <v>MickaëlGUEGUEN</v>
      </c>
      <c r="D42" s="105" t="s">
        <v>192</v>
      </c>
      <c r="E42" s="77">
        <v>64</v>
      </c>
    </row>
    <row r="43" spans="1:7" ht="20.100000000000001" customHeight="1" x14ac:dyDescent="0.2">
      <c r="A43" s="200" t="s">
        <v>276</v>
      </c>
      <c r="B43" s="203" t="s">
        <v>71</v>
      </c>
      <c r="C43" s="92" t="str">
        <f t="shared" si="4"/>
        <v>ClaudeMERCIER</v>
      </c>
      <c r="D43" s="105" t="s">
        <v>192</v>
      </c>
      <c r="E43" s="77">
        <v>70</v>
      </c>
    </row>
    <row r="44" spans="1:7" ht="20.100000000000001" customHeight="1" x14ac:dyDescent="0.2">
      <c r="A44" s="200" t="s">
        <v>30</v>
      </c>
      <c r="B44" s="203" t="s">
        <v>31</v>
      </c>
      <c r="C44" s="92" t="str">
        <f t="shared" si="4"/>
        <v>DanielVEDEL</v>
      </c>
      <c r="D44" s="105" t="s">
        <v>192</v>
      </c>
      <c r="E44" s="77">
        <v>62</v>
      </c>
    </row>
    <row r="45" spans="1:7" ht="20.100000000000001" customHeight="1" x14ac:dyDescent="0.2">
      <c r="A45" s="80"/>
      <c r="B45" s="80"/>
      <c r="C45" s="92" t="str">
        <f t="shared" si="4"/>
        <v/>
      </c>
      <c r="D45" s="80"/>
      <c r="E45" s="80"/>
    </row>
    <row r="46" spans="1:7" ht="20.100000000000001" customHeight="1" x14ac:dyDescent="0.2">
      <c r="A46" s="80"/>
      <c r="B46" s="80"/>
      <c r="C46" s="92" t="str">
        <f t="shared" si="4"/>
        <v/>
      </c>
      <c r="D46" s="80"/>
      <c r="E46" s="80"/>
    </row>
    <row r="47" spans="1:7" ht="20.100000000000001" customHeight="1" thickBot="1" x14ac:dyDescent="0.25">
      <c r="A47" s="278" t="s">
        <v>8</v>
      </c>
      <c r="B47" s="279"/>
      <c r="C47" s="279"/>
      <c r="D47" s="279"/>
    </row>
    <row r="48" spans="1:7" ht="20.100000000000001" customHeight="1" thickBot="1" x14ac:dyDescent="0.25">
      <c r="A48" s="93" t="s">
        <v>180</v>
      </c>
      <c r="B48" s="94" t="s">
        <v>81</v>
      </c>
      <c r="C48" s="95" t="s">
        <v>186</v>
      </c>
      <c r="D48" s="95" t="s">
        <v>194</v>
      </c>
      <c r="E48" s="77" t="s">
        <v>181</v>
      </c>
      <c r="G48" s="100" t="s">
        <v>187</v>
      </c>
    </row>
    <row r="49" spans="1:7" ht="20.100000000000001" customHeight="1" x14ac:dyDescent="0.2">
      <c r="A49" s="194" t="s">
        <v>89</v>
      </c>
      <c r="B49" s="195" t="s">
        <v>90</v>
      </c>
      <c r="C49" s="92" t="str">
        <f t="shared" ref="C49:C56" si="5">TRIM(CONCATENATE(B49,A49))</f>
        <v>GuyDE BREUVAND</v>
      </c>
      <c r="D49" s="105" t="s">
        <v>192</v>
      </c>
      <c r="E49" s="77">
        <v>80</v>
      </c>
      <c r="G49" s="101">
        <f>SMALL(Tableau717253341[BRUT],1)</f>
        <v>59</v>
      </c>
    </row>
    <row r="50" spans="1:7" ht="20.100000000000001" customHeight="1" x14ac:dyDescent="0.2">
      <c r="A50" s="194" t="s">
        <v>22</v>
      </c>
      <c r="B50" s="194" t="s">
        <v>55</v>
      </c>
      <c r="C50" s="180" t="str">
        <f t="shared" si="5"/>
        <v>ChristineGRAVELIN</v>
      </c>
      <c r="D50" s="105" t="s">
        <v>193</v>
      </c>
      <c r="E50" s="181">
        <v>82</v>
      </c>
      <c r="G50" s="101">
        <f>SMALL(Tableau717253341[BRUT],2)</f>
        <v>63</v>
      </c>
    </row>
    <row r="51" spans="1:7" ht="20.100000000000001" customHeight="1" x14ac:dyDescent="0.2">
      <c r="A51" s="194" t="s">
        <v>22</v>
      </c>
      <c r="B51" s="194" t="s">
        <v>23</v>
      </c>
      <c r="C51" s="180" t="str">
        <f t="shared" si="5"/>
        <v>MarcGRAVELIN</v>
      </c>
      <c r="D51" s="105" t="s">
        <v>192</v>
      </c>
      <c r="E51" s="181">
        <v>75</v>
      </c>
      <c r="G51" s="101">
        <f>SMALL(Tableau717253341[BRUT],3)</f>
        <v>72</v>
      </c>
    </row>
    <row r="52" spans="1:7" ht="20.100000000000001" customHeight="1" x14ac:dyDescent="0.2">
      <c r="A52" s="194" t="s">
        <v>287</v>
      </c>
      <c r="B52" s="194" t="s">
        <v>52</v>
      </c>
      <c r="C52" s="180" t="str">
        <f t="shared" si="5"/>
        <v>GillesJOSSIER</v>
      </c>
      <c r="D52" s="105" t="s">
        <v>192</v>
      </c>
      <c r="E52" s="181">
        <v>63</v>
      </c>
    </row>
    <row r="53" spans="1:7" ht="20.100000000000001" customHeight="1" x14ac:dyDescent="0.2">
      <c r="A53" s="194" t="s">
        <v>84</v>
      </c>
      <c r="B53" s="194" t="s">
        <v>78</v>
      </c>
      <c r="C53" s="180" t="str">
        <f t="shared" si="5"/>
        <v>ElisabethMEYNIAL</v>
      </c>
      <c r="D53" s="105" t="s">
        <v>193</v>
      </c>
      <c r="E53" s="181">
        <v>72</v>
      </c>
    </row>
    <row r="54" spans="1:7" ht="20.100000000000001" customHeight="1" x14ac:dyDescent="0.2">
      <c r="A54" s="194" t="s">
        <v>15</v>
      </c>
      <c r="B54" s="194" t="s">
        <v>16</v>
      </c>
      <c r="C54" s="180" t="str">
        <f t="shared" si="5"/>
        <v>JeanLOUBAT</v>
      </c>
      <c r="D54" s="105" t="s">
        <v>192</v>
      </c>
      <c r="E54" s="181">
        <v>59</v>
      </c>
    </row>
    <row r="55" spans="1:7" ht="20.100000000000001" customHeight="1" x14ac:dyDescent="0.2">
      <c r="A55" s="194" t="s">
        <v>38</v>
      </c>
      <c r="B55" s="194" t="s">
        <v>57</v>
      </c>
      <c r="C55" s="180" t="str">
        <f t="shared" si="5"/>
        <v>HuguettePERRIER</v>
      </c>
      <c r="D55" s="105" t="s">
        <v>192</v>
      </c>
      <c r="E55" s="181">
        <v>78</v>
      </c>
    </row>
    <row r="56" spans="1:7" ht="20.100000000000001" customHeight="1" x14ac:dyDescent="0.2">
      <c r="A56" s="213"/>
      <c r="B56" s="213"/>
      <c r="C56" s="214" t="str">
        <f t="shared" si="5"/>
        <v/>
      </c>
      <c r="D56" s="105"/>
      <c r="E56" s="215"/>
    </row>
    <row r="57" spans="1:7" ht="20.100000000000001" customHeight="1" x14ac:dyDescent="0.2">
      <c r="A57" s="80"/>
      <c r="B57" s="80"/>
      <c r="C57" s="92" t="str">
        <f t="shared" si="4"/>
        <v/>
      </c>
      <c r="D57" s="80"/>
      <c r="E57" s="89"/>
    </row>
    <row r="58" spans="1:7" ht="20.100000000000001" customHeight="1" x14ac:dyDescent="0.2">
      <c r="A58" s="80"/>
      <c r="B58" s="80"/>
      <c r="C58" s="92" t="str">
        <f t="shared" si="4"/>
        <v/>
      </c>
      <c r="D58" s="80"/>
      <c r="E58" s="80"/>
    </row>
    <row r="59" spans="1:7" ht="20.100000000000001" customHeight="1" thickBot="1" x14ac:dyDescent="0.25">
      <c r="A59" s="280" t="s">
        <v>74</v>
      </c>
      <c r="B59" s="281"/>
      <c r="C59" s="281"/>
      <c r="D59" s="281"/>
    </row>
    <row r="60" spans="1:7" ht="20.100000000000001" customHeight="1" thickBot="1" x14ac:dyDescent="0.25">
      <c r="A60" s="99" t="s">
        <v>180</v>
      </c>
      <c r="B60" s="94" t="s">
        <v>81</v>
      </c>
      <c r="C60" s="95" t="s">
        <v>186</v>
      </c>
      <c r="D60" s="95" t="s">
        <v>194</v>
      </c>
      <c r="E60" s="77" t="s">
        <v>181</v>
      </c>
      <c r="G60" s="100" t="s">
        <v>187</v>
      </c>
    </row>
    <row r="61" spans="1:7" ht="20.100000000000001" customHeight="1" x14ac:dyDescent="0.2">
      <c r="A61" s="209" t="s">
        <v>147</v>
      </c>
      <c r="B61" s="210" t="s">
        <v>47</v>
      </c>
      <c r="C61" s="92" t="str">
        <f t="shared" si="4"/>
        <v>PhilippeCARRER</v>
      </c>
      <c r="D61" s="105" t="s">
        <v>192</v>
      </c>
      <c r="E61" s="77">
        <v>64</v>
      </c>
      <c r="G61" s="101">
        <f>SMALL(Tableau818263442[BRUT],1)</f>
        <v>58</v>
      </c>
    </row>
    <row r="62" spans="1:7" ht="20.100000000000001" customHeight="1" x14ac:dyDescent="0.2">
      <c r="A62" s="209" t="s">
        <v>147</v>
      </c>
      <c r="B62" s="209" t="s">
        <v>149</v>
      </c>
      <c r="C62" s="180" t="str">
        <f t="shared" ref="C62:C63" si="6">TRIM(CONCATENATE(B62,A62))</f>
        <v>JacquelineCARRER</v>
      </c>
      <c r="D62" s="105" t="s">
        <v>193</v>
      </c>
      <c r="E62" s="77">
        <v>73</v>
      </c>
      <c r="G62" s="101">
        <f>SMALL(Tableau818263442[BRUT],2)</f>
        <v>64</v>
      </c>
    </row>
    <row r="63" spans="1:7" ht="19.350000000000001" customHeight="1" x14ac:dyDescent="0.2">
      <c r="A63" s="209" t="s">
        <v>98</v>
      </c>
      <c r="B63" s="209" t="s">
        <v>99</v>
      </c>
      <c r="C63" s="180" t="str">
        <f t="shared" si="6"/>
        <v>MoniqueDOMY</v>
      </c>
      <c r="D63" s="105" t="s">
        <v>193</v>
      </c>
      <c r="E63" s="77">
        <v>75</v>
      </c>
      <c r="G63" s="101">
        <f>SMALL(Tableau818263442[BRUT],3)</f>
        <v>73</v>
      </c>
    </row>
    <row r="64" spans="1:7" ht="19.350000000000001" customHeight="1" x14ac:dyDescent="0.2">
      <c r="A64" s="209" t="s">
        <v>173</v>
      </c>
      <c r="B64" s="210" t="s">
        <v>174</v>
      </c>
      <c r="C64" s="92" t="str">
        <f t="shared" si="4"/>
        <v>ThierryJACQUEMOT</v>
      </c>
      <c r="D64" s="105" t="s">
        <v>192</v>
      </c>
      <c r="E64" s="77">
        <v>58</v>
      </c>
    </row>
    <row r="65" spans="1:7" ht="20.100000000000001" customHeight="1" x14ac:dyDescent="0.2">
      <c r="A65" s="209" t="s">
        <v>29</v>
      </c>
      <c r="B65" s="210" t="s">
        <v>14</v>
      </c>
      <c r="C65" s="92" t="str">
        <f t="shared" si="4"/>
        <v>MichelLABAUNE</v>
      </c>
      <c r="D65" s="105" t="s">
        <v>192</v>
      </c>
      <c r="E65" s="77">
        <v>73</v>
      </c>
    </row>
    <row r="66" spans="1:7" ht="20.100000000000001" customHeight="1" x14ac:dyDescent="0.2">
      <c r="A66" s="211" t="s">
        <v>288</v>
      </c>
      <c r="B66" s="211" t="s">
        <v>289</v>
      </c>
      <c r="C66" s="92" t="str">
        <f t="shared" si="4"/>
        <v>IsabelleTOUZET</v>
      </c>
      <c r="D66" s="105" t="s">
        <v>193</v>
      </c>
      <c r="E66" s="77">
        <v>76</v>
      </c>
    </row>
    <row r="67" spans="1:7" ht="20.100000000000001" customHeight="1" x14ac:dyDescent="0.2">
      <c r="A67" s="209" t="s">
        <v>73</v>
      </c>
      <c r="B67" s="209" t="s">
        <v>66</v>
      </c>
      <c r="C67" s="92" t="str">
        <f t="shared" si="4"/>
        <v>MartineVACHOT</v>
      </c>
      <c r="D67" s="105" t="s">
        <v>193</v>
      </c>
      <c r="E67" s="98">
        <v>79</v>
      </c>
    </row>
    <row r="68" spans="1:7" ht="20.100000000000001" customHeight="1" x14ac:dyDescent="0.2">
      <c r="A68" s="80"/>
      <c r="B68" s="80"/>
      <c r="C68" s="92" t="str">
        <f t="shared" si="4"/>
        <v/>
      </c>
      <c r="D68" s="80"/>
      <c r="E68" s="80"/>
    </row>
    <row r="69" spans="1:7" ht="20.100000000000001" customHeight="1" x14ac:dyDescent="0.2">
      <c r="A69" s="80"/>
      <c r="B69" s="80"/>
      <c r="C69" s="92" t="str">
        <f t="shared" si="4"/>
        <v/>
      </c>
      <c r="D69" s="80"/>
      <c r="E69" s="80"/>
    </row>
    <row r="70" spans="1:7" ht="20.100000000000001" customHeight="1" thickBot="1" x14ac:dyDescent="0.25">
      <c r="A70" s="268" t="s">
        <v>26</v>
      </c>
      <c r="B70" s="269"/>
      <c r="C70" s="269"/>
      <c r="D70" s="269"/>
    </row>
    <row r="71" spans="1:7" ht="20.100000000000001" customHeight="1" thickBot="1" x14ac:dyDescent="0.25">
      <c r="A71" s="93" t="s">
        <v>180</v>
      </c>
      <c r="B71" s="94" t="s">
        <v>81</v>
      </c>
      <c r="C71" s="95" t="s">
        <v>186</v>
      </c>
      <c r="D71" s="95" t="s">
        <v>194</v>
      </c>
      <c r="E71" s="77" t="s">
        <v>181</v>
      </c>
      <c r="G71" s="100" t="s">
        <v>187</v>
      </c>
    </row>
    <row r="72" spans="1:7" ht="20.100000000000001" customHeight="1" x14ac:dyDescent="0.2">
      <c r="A72" s="199" t="s">
        <v>175</v>
      </c>
      <c r="B72" s="199" t="s">
        <v>176</v>
      </c>
      <c r="C72" s="92" t="str">
        <f t="shared" si="4"/>
        <v>AgnèsFLECHE</v>
      </c>
      <c r="D72" s="105" t="s">
        <v>193</v>
      </c>
      <c r="E72" s="77">
        <v>73</v>
      </c>
      <c r="G72" s="101">
        <f>SMALL(Tableau919273543[BRUT],1)</f>
        <v>73</v>
      </c>
    </row>
    <row r="73" spans="1:7" ht="19.5" x14ac:dyDescent="0.2">
      <c r="A73" s="212" t="s">
        <v>122</v>
      </c>
      <c r="B73" s="199" t="s">
        <v>66</v>
      </c>
      <c r="C73" s="92" t="str">
        <f t="shared" si="4"/>
        <v>MartineMOUTH</v>
      </c>
      <c r="D73" s="105" t="s">
        <v>193</v>
      </c>
      <c r="E73" s="77">
        <v>79</v>
      </c>
      <c r="G73" s="101">
        <f>SMALL(Tableau919273543[BRUT],2)</f>
        <v>76</v>
      </c>
    </row>
    <row r="74" spans="1:7" ht="19.5" x14ac:dyDescent="0.2">
      <c r="A74" s="212" t="s">
        <v>116</v>
      </c>
      <c r="B74" s="199" t="s">
        <v>59</v>
      </c>
      <c r="C74" s="92" t="str">
        <f t="shared" si="4"/>
        <v>SylvieRUSZNIEWSKI</v>
      </c>
      <c r="D74" s="105" t="s">
        <v>193</v>
      </c>
      <c r="E74" s="77">
        <v>81</v>
      </c>
      <c r="G74" s="101">
        <f>SMALL(Tableau919273543[BRUT],3)</f>
        <v>79</v>
      </c>
    </row>
    <row r="75" spans="1:7" ht="19.5" x14ac:dyDescent="0.2">
      <c r="A75" s="212" t="s">
        <v>150</v>
      </c>
      <c r="B75" s="203" t="s">
        <v>151</v>
      </c>
      <c r="C75" s="92" t="str">
        <f t="shared" si="4"/>
        <v>ErnestSPENGLER</v>
      </c>
      <c r="D75" s="105" t="s">
        <v>192</v>
      </c>
      <c r="E75" s="77">
        <v>80</v>
      </c>
    </row>
    <row r="76" spans="1:7" ht="19.5" x14ac:dyDescent="0.2">
      <c r="A76" s="212" t="s">
        <v>185</v>
      </c>
      <c r="B76" s="199" t="s">
        <v>115</v>
      </c>
      <c r="C76" s="92" t="str">
        <f t="shared" si="4"/>
        <v>OdileVIDAL</v>
      </c>
      <c r="D76" s="105" t="s">
        <v>193</v>
      </c>
      <c r="E76" s="78">
        <v>76</v>
      </c>
    </row>
  </sheetData>
  <mergeCells count="12">
    <mergeCell ref="A70:D70"/>
    <mergeCell ref="A1:I1"/>
    <mergeCell ref="A3:D3"/>
    <mergeCell ref="J5:K5"/>
    <mergeCell ref="J10:K10"/>
    <mergeCell ref="A15:D15"/>
    <mergeCell ref="J16:K16"/>
    <mergeCell ref="J19:K19"/>
    <mergeCell ref="A27:D27"/>
    <mergeCell ref="A35:D35"/>
    <mergeCell ref="A47:D47"/>
    <mergeCell ref="A59:D59"/>
  </mergeCells>
  <dataValidations count="2">
    <dataValidation type="list" allowBlank="1" showInputMessage="1" showErrorMessage="1" sqref="A37:A44" xr:uid="{00000000-0002-0000-0600-000000000000}">
      <formula1>NOM</formula1>
    </dataValidation>
    <dataValidation type="list" allowBlank="1" showInputMessage="1" showErrorMessage="1" sqref="J17" xr:uid="{00000000-0002-0000-0600-000001000000}">
      <formula1>NOMBIS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U89"/>
  <sheetViews>
    <sheetView topLeftCell="A56" workbookViewId="0">
      <selection activeCell="B60" sqref="B60"/>
    </sheetView>
  </sheetViews>
  <sheetFormatPr baseColWidth="10" defaultRowHeight="12.75" x14ac:dyDescent="0.2"/>
  <cols>
    <col min="1" max="1" width="30.140625" bestFit="1" customWidth="1"/>
    <col min="2" max="2" width="19.140625" customWidth="1"/>
    <col min="3" max="3" width="13.140625" hidden="1" customWidth="1"/>
    <col min="4" max="4" width="4.7109375" customWidth="1"/>
    <col min="5" max="5" width="8.42578125" customWidth="1"/>
    <col min="6" max="6" width="8.7109375" customWidth="1"/>
    <col min="7" max="7" width="14.28515625" bestFit="1" customWidth="1"/>
    <col min="8" max="8" width="3" customWidth="1"/>
    <col min="9" max="9" width="3.7109375" customWidth="1"/>
    <col min="10" max="10" width="21.140625" customWidth="1"/>
    <col min="11" max="11" width="18" customWidth="1"/>
    <col min="12" max="12" width="15.28515625" customWidth="1"/>
    <col min="13" max="13" width="13" bestFit="1" customWidth="1"/>
    <col min="14" max="14" width="11" customWidth="1"/>
    <col min="15" max="15" width="12.85546875" hidden="1" customWidth="1"/>
    <col min="16" max="16" width="8.140625" hidden="1" customWidth="1"/>
    <col min="17" max="17" width="6.85546875" hidden="1" customWidth="1"/>
    <col min="18" max="18" width="4.85546875" customWidth="1"/>
    <col min="19" max="19" width="30.42578125" bestFit="1" customWidth="1"/>
    <col min="20" max="20" width="9.42578125" bestFit="1" customWidth="1"/>
    <col min="21" max="21" width="13" bestFit="1" customWidth="1"/>
  </cols>
  <sheetData>
    <row r="1" spans="1:21" ht="67.7" customHeight="1" thickBot="1" x14ac:dyDescent="0.25">
      <c r="A1" s="261" t="s">
        <v>209</v>
      </c>
      <c r="B1" s="262"/>
      <c r="C1" s="262"/>
      <c r="D1" s="262"/>
      <c r="E1" s="262"/>
      <c r="F1" s="262"/>
      <c r="G1" s="262"/>
      <c r="H1" s="262"/>
      <c r="I1" s="263"/>
    </row>
    <row r="3" spans="1:21" ht="20.25" thickBot="1" x14ac:dyDescent="0.25">
      <c r="A3" s="270" t="s">
        <v>13</v>
      </c>
      <c r="B3" s="271"/>
      <c r="C3" s="271"/>
      <c r="D3" s="271"/>
    </row>
    <row r="4" spans="1:21" ht="20.100000000000001" customHeight="1" thickBot="1" x14ac:dyDescent="0.25">
      <c r="A4" s="93" t="s">
        <v>180</v>
      </c>
      <c r="B4" s="94" t="s">
        <v>81</v>
      </c>
      <c r="C4" s="95" t="s">
        <v>186</v>
      </c>
      <c r="D4" s="95" t="s">
        <v>194</v>
      </c>
      <c r="E4" s="77" t="s">
        <v>181</v>
      </c>
      <c r="G4" s="100" t="s">
        <v>187</v>
      </c>
    </row>
    <row r="5" spans="1:21" ht="20.100000000000001" customHeight="1" x14ac:dyDescent="0.2">
      <c r="A5" s="202" t="s">
        <v>291</v>
      </c>
      <c r="B5" s="201" t="s">
        <v>25</v>
      </c>
      <c r="C5" s="92" t="str">
        <f>TRIM(CONCATENATE(B5,A5))</f>
        <v>JacquesBARBAT</v>
      </c>
      <c r="D5" s="105" t="s">
        <v>192</v>
      </c>
      <c r="E5" s="77">
        <v>64</v>
      </c>
      <c r="G5" s="101">
        <f>SMALL(Tableau31321293745[BRUT],1)</f>
        <v>53</v>
      </c>
      <c r="J5" s="264" t="s">
        <v>189</v>
      </c>
      <c r="K5" s="265"/>
      <c r="L5" s="125" t="s">
        <v>190</v>
      </c>
      <c r="M5" s="103" t="s">
        <v>191</v>
      </c>
    </row>
    <row r="6" spans="1:21" ht="20.100000000000001" customHeight="1" x14ac:dyDescent="0.2">
      <c r="A6" s="202" t="s">
        <v>292</v>
      </c>
      <c r="B6" s="203" t="s">
        <v>132</v>
      </c>
      <c r="C6" s="180" t="str">
        <f t="shared" ref="C6:C9" si="0">TRIM(CONCATENATE(B6,A6))</f>
        <v>PatriceCHALMIN</v>
      </c>
      <c r="D6" s="105" t="s">
        <v>192</v>
      </c>
      <c r="E6" s="77">
        <v>61</v>
      </c>
      <c r="G6" s="101">
        <f>SMALL(Tableau31321293745[BRUT],2)</f>
        <v>54</v>
      </c>
      <c r="J6" s="107" t="s">
        <v>293</v>
      </c>
      <c r="K6" s="107" t="s">
        <v>294</v>
      </c>
      <c r="L6" s="126">
        <v>62</v>
      </c>
      <c r="M6" s="104">
        <v>1</v>
      </c>
      <c r="O6" s="120" t="s">
        <v>201</v>
      </c>
      <c r="P6" s="121" t="s">
        <v>202</v>
      </c>
      <c r="Q6" s="122" t="s">
        <v>191</v>
      </c>
      <c r="S6" s="116" t="s">
        <v>201</v>
      </c>
      <c r="T6" s="128" t="s">
        <v>202</v>
      </c>
      <c r="U6" s="118" t="s">
        <v>191</v>
      </c>
    </row>
    <row r="7" spans="1:21" ht="20.100000000000001" customHeight="1" x14ac:dyDescent="0.2">
      <c r="A7" s="202" t="s">
        <v>293</v>
      </c>
      <c r="B7" s="203" t="s">
        <v>24</v>
      </c>
      <c r="C7" s="180" t="str">
        <f>TRIM(CONCATENATE(B7,A7))</f>
        <v>Jean LouisCOLOMBIER</v>
      </c>
      <c r="D7" s="105" t="s">
        <v>192</v>
      </c>
      <c r="E7" s="77">
        <v>63</v>
      </c>
      <c r="G7" s="101">
        <f>SMALL(Tableau31321293745[BRUT],3)</f>
        <v>57</v>
      </c>
      <c r="J7" s="107" t="str">
        <f t="array" ref="J7">IFERROR(INDEX(A$5:A$112, MATCH(1, (D$5:D$112="F")*(E$5:E$112=L7)*(COUNTIF(J$5:J5,A$5:A$112)=0), 0)),"")</f>
        <v>MAZUEL</v>
      </c>
      <c r="K7" s="107" t="str">
        <f t="array" ref="K7">IFERROR(INDEX(B$5:B$112, MATCH(1, (D$5:D$112="F")*(E$5:E$112=L7)*(COUNTIF(L$5:L5,E$5:E$112)=0), 0)),"")</f>
        <v>Nicole</v>
      </c>
      <c r="L7" s="126">
        <f t="array" ref="L7">IFERROR(SMALL(IF(D$13:D$112="F",E$13:E$112), ROW(A1)),"")</f>
        <v>65</v>
      </c>
      <c r="M7" s="104">
        <v>2</v>
      </c>
      <c r="O7" s="119" t="str">
        <f>A3</f>
        <v>RIOM</v>
      </c>
      <c r="P7" s="114">
        <f>SUM(G5:G7)</f>
        <v>164</v>
      </c>
      <c r="Q7" s="104">
        <f>RANK(P7, P$7:P$13, 1) + COUNTIF(P$7:P7, P7) - 1</f>
        <v>1</v>
      </c>
      <c r="S7" s="117" t="str">
        <f>INDEX(O$7:O$13, MATCH(ROW(A1), Q$7:Q$13, 0))</f>
        <v>RIOM</v>
      </c>
      <c r="T7" s="129">
        <f>INDEX(P$7:P$13, MATCH(ROW(A1), Q$7:Q$13, 0))</f>
        <v>164</v>
      </c>
      <c r="U7" s="104">
        <f>ROW(A1)</f>
        <v>1</v>
      </c>
    </row>
    <row r="8" spans="1:21" ht="20.100000000000001" customHeight="1" x14ac:dyDescent="0.2">
      <c r="A8" s="202" t="s">
        <v>293</v>
      </c>
      <c r="B8" s="202" t="s">
        <v>294</v>
      </c>
      <c r="C8" s="180" t="str">
        <f t="shared" si="0"/>
        <v>JosianeCOLOMBIER</v>
      </c>
      <c r="D8" s="105" t="s">
        <v>193</v>
      </c>
      <c r="E8" s="77">
        <v>62</v>
      </c>
      <c r="J8" s="107" t="str">
        <f t="array" ref="J8">IFERROR(INDEX(A$5:A$112, MATCH(1, (D$5:D$112="F")*(E$5:E$112=L8)*(COUNTIF(J$5:J7,A$5:A$112)=0), 0)),"")</f>
        <v>VACHOT</v>
      </c>
      <c r="K8" s="107" t="str">
        <f t="array" ref="K8">IFERROR(INDEX(B$5:B$112, MATCH(1, (D$5:D$112="F")*(E$5:E$112=L8)*(COUNTIF(L$5:L7,E$5:E$112)=0), 0)),"")</f>
        <v>Martine</v>
      </c>
      <c r="L8" s="126">
        <f t="array" ref="L8">IFERROR(SMALL(IF(D$13:D$112="F",E$13:E$112), ROW(A2)),"")</f>
        <v>68</v>
      </c>
      <c r="M8" s="104">
        <v>3</v>
      </c>
      <c r="O8" s="119" t="str">
        <f>A22</f>
        <v>GAZELEC CLERMONT</v>
      </c>
      <c r="P8" s="114">
        <f>SUM(G23:G25)</f>
        <v>170</v>
      </c>
      <c r="Q8" s="104">
        <f>RANK(P8, P$7:P$13, 1) + COUNTIF(P$7:P8, P8) - 1</f>
        <v>2</v>
      </c>
      <c r="S8" s="117" t="str">
        <f t="shared" ref="S8:S11" si="1">INDEX(O$7:O$13, MATCH(ROW(A2), Q$7:Q$13, 0))</f>
        <v>GAZELEC CLERMONT</v>
      </c>
      <c r="T8" s="129">
        <f t="shared" ref="T8:T11" si="2">INDEX(P$7:P$13, MATCH(ROW(A2), Q$7:Q$13, 0))</f>
        <v>170</v>
      </c>
      <c r="U8" s="104">
        <f t="shared" ref="U8:U11" si="3">ROW(A2)</f>
        <v>2</v>
      </c>
    </row>
    <row r="9" spans="1:21" ht="20.100000000000001" customHeight="1" x14ac:dyDescent="0.2">
      <c r="A9" s="202" t="s">
        <v>295</v>
      </c>
      <c r="B9" s="203" t="s">
        <v>85</v>
      </c>
      <c r="C9" s="180" t="str">
        <f t="shared" si="0"/>
        <v>BernardFAURE</v>
      </c>
      <c r="D9" s="105" t="s">
        <v>192</v>
      </c>
      <c r="E9" s="77">
        <v>58</v>
      </c>
      <c r="O9" s="119" t="str">
        <f>A43</f>
        <v>GAZELEC MOULINS/VICHY</v>
      </c>
      <c r="P9" s="114">
        <f>SUM(G44:G46)</f>
        <v>270</v>
      </c>
      <c r="Q9" s="104">
        <f>RANK(P9, P$7:P$13, 1) + COUNTIF(P$7:P9, P9) - 1</f>
        <v>7</v>
      </c>
      <c r="S9" s="117" t="str">
        <f t="shared" si="1"/>
        <v>MAURIAC</v>
      </c>
      <c r="T9" s="129">
        <f t="shared" si="2"/>
        <v>175</v>
      </c>
      <c r="U9" s="104">
        <f t="shared" si="3"/>
        <v>3</v>
      </c>
    </row>
    <row r="10" spans="1:21" ht="20.100000000000001" customHeight="1" x14ac:dyDescent="0.2">
      <c r="A10" s="202" t="s">
        <v>296</v>
      </c>
      <c r="B10" s="203" t="s">
        <v>85</v>
      </c>
      <c r="C10" s="180" t="str">
        <f t="shared" ref="C10:C18" si="4">TRIM(CONCATENATE(B10,A10))</f>
        <v>BernardFRUGERE</v>
      </c>
      <c r="D10" s="105" t="s">
        <v>192</v>
      </c>
      <c r="E10" s="77">
        <v>66</v>
      </c>
      <c r="O10" s="119" t="str">
        <f>A51</f>
        <v>VAL D'AUZON</v>
      </c>
      <c r="P10" s="114">
        <f>SUM(G52:G54)</f>
        <v>176</v>
      </c>
      <c r="Q10" s="104">
        <f>RANK(P10, P$7:P$13, 1) + COUNTIF(P$7:P10, P10) - 1</f>
        <v>4</v>
      </c>
      <c r="S10" s="117" t="str">
        <f t="shared" si="1"/>
        <v>VAL D'AUZON</v>
      </c>
      <c r="T10" s="129">
        <f t="shared" si="2"/>
        <v>176</v>
      </c>
      <c r="U10" s="104">
        <f t="shared" si="3"/>
        <v>4</v>
      </c>
    </row>
    <row r="11" spans="1:21" ht="20.100000000000001" customHeight="1" x14ac:dyDescent="0.2">
      <c r="A11" s="202" t="s">
        <v>296</v>
      </c>
      <c r="B11" s="202" t="s">
        <v>66</v>
      </c>
      <c r="C11" s="230" t="str">
        <f t="shared" si="4"/>
        <v>MartineFRUGERE</v>
      </c>
      <c r="D11" s="105" t="s">
        <v>193</v>
      </c>
      <c r="E11" s="181">
        <v>71</v>
      </c>
      <c r="J11" s="264" t="s">
        <v>195</v>
      </c>
      <c r="K11" s="265"/>
      <c r="L11" s="125" t="s">
        <v>190</v>
      </c>
      <c r="M11" s="103" t="s">
        <v>191</v>
      </c>
      <c r="O11" s="119" t="str">
        <f>A65</f>
        <v>CHARADE</v>
      </c>
      <c r="P11" s="114">
        <f>SUM(G66:G68)</f>
        <v>193</v>
      </c>
      <c r="Q11" s="104">
        <f>RANK(P11, P$7:P$13, 1) + COUNTIF(P$7:P11, P11) - 1</f>
        <v>5</v>
      </c>
      <c r="S11" s="117" t="str">
        <f t="shared" si="1"/>
        <v>CHARADE</v>
      </c>
      <c r="T11" s="129">
        <f t="shared" si="2"/>
        <v>193</v>
      </c>
      <c r="U11" s="104">
        <f t="shared" si="3"/>
        <v>5</v>
      </c>
    </row>
    <row r="12" spans="1:21" ht="20.100000000000001" customHeight="1" x14ac:dyDescent="0.2">
      <c r="A12" s="202" t="s">
        <v>297</v>
      </c>
      <c r="B12" s="203" t="s">
        <v>85</v>
      </c>
      <c r="C12" s="230" t="str">
        <f t="shared" si="4"/>
        <v>BernardHUGON</v>
      </c>
      <c r="D12" s="105" t="s">
        <v>192</v>
      </c>
      <c r="E12" s="181">
        <v>66</v>
      </c>
      <c r="J12" s="109" t="str">
        <f t="array" ref="J12">IFERROR(INDEX(A$5:A$112, MATCH(1, (D$5:D$112="M")*(E$5:E$112=L12)*(COUNTIF(J$11:J11,A$5:A$112)=0), 0)),"")</f>
        <v>JEANDREAU</v>
      </c>
      <c r="K12" s="109" t="str">
        <f t="array" ref="K12">IFERROR(INDEX(B$5:B$112, MATCH(1, (D$5:D$112="M")*(E$5:E$112=L12)*(COUNTIF(L$11:L11,E$5:E$112)=0), 0)),"")</f>
        <v>Alain</v>
      </c>
      <c r="L12" s="127">
        <f t="array" ref="L12">IFERROR(SMALL(IF(D$5:D$112="M",E$5:E$112), ROW(A1)),"")</f>
        <v>53</v>
      </c>
      <c r="M12" s="106">
        <v>1</v>
      </c>
      <c r="O12" s="119" t="str">
        <f>A74</f>
        <v>MAURIAC</v>
      </c>
      <c r="P12" s="114">
        <f>SUM(G75:G77)</f>
        <v>175</v>
      </c>
      <c r="Q12" s="104">
        <f>RANK(P12, P$7:P$13, 1) + COUNTIF(P$7:P12, P12) - 1</f>
        <v>3</v>
      </c>
      <c r="S12" s="117" t="str">
        <f>INDEX(O$7:O$13, MATCH(ROW(A6), Q$7:Q$13, 0))</f>
        <v>MONTPENSIER</v>
      </c>
      <c r="T12" s="129">
        <f>INDEX(P$7:P$13, MATCH(ROW(A6), Q$7:Q$13, 0))</f>
        <v>238</v>
      </c>
      <c r="U12" s="104">
        <f>ROW(A6)</f>
        <v>6</v>
      </c>
    </row>
    <row r="13" spans="1:21" ht="20.100000000000001" customHeight="1" x14ac:dyDescent="0.2">
      <c r="A13" s="202" t="s">
        <v>11</v>
      </c>
      <c r="B13" s="203" t="s">
        <v>12</v>
      </c>
      <c r="C13" s="230" t="str">
        <f t="shared" si="4"/>
        <v>AlainJEANDREAU</v>
      </c>
      <c r="D13" s="105" t="s">
        <v>192</v>
      </c>
      <c r="E13" s="181">
        <v>53</v>
      </c>
      <c r="J13" s="109" t="str">
        <f t="array" ref="J13">IFERROR(INDEX(A$5:A$112, MATCH(1, (D$5:D$112="M")*(E$5:E$112=L13)*(COUNTIF(J$11:J12,A$5:A$112)=0), 0)),"")</f>
        <v>MACHAJ</v>
      </c>
      <c r="K13" s="109" t="str">
        <f t="array" ref="K13">IFERROR(INDEX(B$5:B$112, MATCH(1, (D$5:D$112="M")*(E$5:E$112=L13)*(COUNTIF(K$11:K12,B$5:B$112)=0), 0)),"")</f>
        <v>Jacky</v>
      </c>
      <c r="L13" s="127">
        <f t="array" ref="L13">IFERROR(SMALL(IF(D$5:D$112="M",E$5:E$112), ROW(A2)),"")</f>
        <v>54</v>
      </c>
      <c r="M13" s="106">
        <v>2</v>
      </c>
      <c r="O13" s="123" t="str">
        <f>A83</f>
        <v>MONTPENSIER</v>
      </c>
      <c r="P13" s="124">
        <f>SUM(G84:G86)</f>
        <v>238</v>
      </c>
      <c r="Q13" s="104">
        <f>RANK(P13, P$7:P$13, 1) + COUNTIF(P$7:P13, P13) - 1</f>
        <v>6</v>
      </c>
      <c r="S13" s="117" t="e">
        <f>INDEX(O$7:O$13, MATCH(ROW(A8), Q$7:Q$13, 0))</f>
        <v>#N/A</v>
      </c>
      <c r="T13" s="129" t="e">
        <f>INDEX(P$7:P$13, MATCH(ROW(A8), Q$7:Q$13, 0))</f>
        <v>#N/A</v>
      </c>
      <c r="U13" s="104">
        <f>ROW(A8)</f>
        <v>8</v>
      </c>
    </row>
    <row r="14" spans="1:21" ht="20.100000000000001" customHeight="1" x14ac:dyDescent="0.2">
      <c r="A14" s="202" t="s">
        <v>182</v>
      </c>
      <c r="B14" s="203" t="s">
        <v>183</v>
      </c>
      <c r="C14" s="230" t="str">
        <f t="shared" si="4"/>
        <v>RolandJUHLIEN</v>
      </c>
      <c r="D14" s="105" t="s">
        <v>192</v>
      </c>
      <c r="E14" s="181">
        <v>58</v>
      </c>
      <c r="J14" s="109" t="str">
        <f t="array" ref="J14">IFERROR(INDEX(A$5:A$112, MATCH(1, (D$5:D$112="M")*(E$5:E$112=L14)*(COUNTIF(J$11:J13,A$5:A$112)=0), 0)),"")</f>
        <v>HESEL</v>
      </c>
      <c r="K14" s="109" t="str">
        <f t="array" ref="K14">IFERROR(INDEX(B$13:B$112, MATCH(1, (D$13:D$112="M")*(E$13:E$112=L14)*(COUNTIF(K$11:K13,B$13:B$112)=0), 0)),"")</f>
        <v>Jean Marc</v>
      </c>
      <c r="L14" s="127">
        <f t="array" ref="L14">IFERROR(SMALL(IF(D$5:D$112="M",E$5:E$112), ROW(A3)),"")</f>
        <v>55</v>
      </c>
      <c r="M14" s="106">
        <v>3</v>
      </c>
    </row>
    <row r="15" spans="1:21" ht="20.100000000000001" customHeight="1" x14ac:dyDescent="0.2">
      <c r="A15" s="202" t="s">
        <v>51</v>
      </c>
      <c r="B15" s="203" t="s">
        <v>44</v>
      </c>
      <c r="C15" s="230" t="str">
        <f t="shared" si="4"/>
        <v>JackyMACHAJ</v>
      </c>
      <c r="D15" s="105" t="s">
        <v>192</v>
      </c>
      <c r="E15" s="181">
        <v>54</v>
      </c>
    </row>
    <row r="16" spans="1:21" ht="20.100000000000001" customHeight="1" x14ac:dyDescent="0.2">
      <c r="A16" s="202" t="s">
        <v>298</v>
      </c>
      <c r="B16" s="203" t="s">
        <v>39</v>
      </c>
      <c r="C16" s="230" t="str">
        <f t="shared" si="4"/>
        <v>SergeMARCUCCI</v>
      </c>
      <c r="D16" s="105" t="s">
        <v>192</v>
      </c>
      <c r="E16" s="181">
        <v>61</v>
      </c>
    </row>
    <row r="17" spans="1:13" ht="20.100000000000001" customHeight="1" x14ac:dyDescent="0.2">
      <c r="A17" s="202" t="s">
        <v>146</v>
      </c>
      <c r="B17" s="201" t="s">
        <v>106</v>
      </c>
      <c r="C17" s="242" t="str">
        <f>TRIM(CONCATENATE(B17,A17))</f>
        <v>Jean ClaudeCLUZEL</v>
      </c>
      <c r="D17" s="243" t="s">
        <v>192</v>
      </c>
      <c r="E17" s="244">
        <v>57</v>
      </c>
    </row>
    <row r="18" spans="1:13" ht="20.100000000000001" customHeight="1" x14ac:dyDescent="0.2">
      <c r="A18" s="202" t="s">
        <v>281</v>
      </c>
      <c r="B18" s="202" t="s">
        <v>282</v>
      </c>
      <c r="C18" s="230" t="str">
        <f t="shared" si="4"/>
        <v>MarylineROUSSEAU</v>
      </c>
      <c r="D18" s="105" t="s">
        <v>193</v>
      </c>
      <c r="E18" s="181">
        <v>71</v>
      </c>
      <c r="J18" s="266" t="s">
        <v>196</v>
      </c>
      <c r="K18" s="267"/>
      <c r="L18" s="102" t="s">
        <v>197</v>
      </c>
      <c r="M18" s="110" t="s">
        <v>308</v>
      </c>
    </row>
    <row r="19" spans="1:13" ht="20.100000000000001" customHeight="1" x14ac:dyDescent="0.2">
      <c r="D19" s="105"/>
      <c r="J19" s="202" t="s">
        <v>296</v>
      </c>
      <c r="K19" s="202" t="s">
        <v>66</v>
      </c>
      <c r="L19" s="111">
        <v>2.73</v>
      </c>
      <c r="M19" s="80"/>
    </row>
    <row r="20" spans="1:13" ht="20.100000000000001" customHeight="1" x14ac:dyDescent="0.2">
      <c r="A20" s="80"/>
      <c r="B20" s="80"/>
      <c r="C20" s="92" t="str">
        <f t="shared" ref="C20:C21" si="5">TRIM(CONCATENATE(B20,A20))</f>
        <v/>
      </c>
      <c r="D20" s="80"/>
      <c r="E20" s="80"/>
      <c r="J20" s="112"/>
      <c r="K20" s="112"/>
      <c r="L20" s="112"/>
      <c r="M20" s="80"/>
    </row>
    <row r="21" spans="1:13" ht="20.100000000000001" customHeight="1" x14ac:dyDescent="0.2">
      <c r="A21" s="80"/>
      <c r="B21" s="80"/>
      <c r="C21" s="92" t="str">
        <f t="shared" si="5"/>
        <v/>
      </c>
      <c r="D21" s="80"/>
      <c r="E21" s="80"/>
      <c r="J21" s="266" t="s">
        <v>200</v>
      </c>
      <c r="K21" s="267"/>
      <c r="L21" s="102" t="s">
        <v>197</v>
      </c>
      <c r="M21" s="113" t="s">
        <v>308</v>
      </c>
    </row>
    <row r="22" spans="1:13" ht="20.100000000000001" customHeight="1" x14ac:dyDescent="0.2">
      <c r="A22" s="272" t="s">
        <v>130</v>
      </c>
      <c r="B22" s="273"/>
      <c r="C22" s="273"/>
      <c r="D22" s="273"/>
      <c r="G22" s="100" t="s">
        <v>187</v>
      </c>
      <c r="J22" s="228" t="s">
        <v>41</v>
      </c>
      <c r="K22" s="225" t="s">
        <v>252</v>
      </c>
      <c r="L22" s="114">
        <v>1.3</v>
      </c>
      <c r="M22" s="115"/>
    </row>
    <row r="23" spans="1:13" ht="20.100000000000001" customHeight="1" thickBot="1" x14ac:dyDescent="0.25">
      <c r="A23" s="93" t="s">
        <v>180</v>
      </c>
      <c r="B23" s="94" t="s">
        <v>81</v>
      </c>
      <c r="C23" s="95" t="s">
        <v>186</v>
      </c>
      <c r="D23" s="95" t="s">
        <v>194</v>
      </c>
      <c r="E23" s="77" t="s">
        <v>181</v>
      </c>
      <c r="G23" s="101">
        <f>SMALL(Tableau41422303846[BRUT],1)</f>
        <v>55</v>
      </c>
    </row>
    <row r="24" spans="1:13" ht="20.100000000000001" customHeight="1" x14ac:dyDescent="0.2">
      <c r="A24" s="205" t="s">
        <v>20</v>
      </c>
      <c r="B24" s="203" t="s">
        <v>283</v>
      </c>
      <c r="C24" s="92" t="str">
        <f t="shared" ref="C24:C89" si="6">TRIM(CONCATENATE(B24,A24))</f>
        <v>Gérard CAMBET</v>
      </c>
      <c r="D24" s="105" t="s">
        <v>192</v>
      </c>
      <c r="E24" s="77">
        <v>58</v>
      </c>
      <c r="G24" s="101">
        <f>SMALL(Tableau41422303846[BRUT],2)</f>
        <v>57</v>
      </c>
    </row>
    <row r="25" spans="1:13" ht="20.100000000000001" customHeight="1" x14ac:dyDescent="0.2">
      <c r="A25" s="205" t="s">
        <v>20</v>
      </c>
      <c r="B25" s="205" t="s">
        <v>101</v>
      </c>
      <c r="C25" s="180" t="str">
        <f t="shared" ref="C25:C32" si="7">TRIM(CONCATENATE(B25,A25))</f>
        <v>JocelyneCAMBET</v>
      </c>
      <c r="D25" s="105" t="s">
        <v>193</v>
      </c>
      <c r="E25" s="77">
        <v>85</v>
      </c>
      <c r="G25" s="101">
        <f>SMALL(Tableau41422303846[BRUT],3)</f>
        <v>58</v>
      </c>
    </row>
    <row r="26" spans="1:13" ht="20.100000000000001" customHeight="1" x14ac:dyDescent="0.2">
      <c r="A26" s="205" t="s">
        <v>20</v>
      </c>
      <c r="B26" s="205" t="s">
        <v>299</v>
      </c>
      <c r="C26" s="180" t="str">
        <f>TRIM(CONCATENATE(B26,A26))</f>
        <v>AlexandraCAMBET</v>
      </c>
      <c r="D26" s="105" t="s">
        <v>193</v>
      </c>
      <c r="E26" s="77">
        <v>85</v>
      </c>
    </row>
    <row r="27" spans="1:13" ht="20.100000000000001" customHeight="1" x14ac:dyDescent="0.2">
      <c r="A27" s="205" t="s">
        <v>300</v>
      </c>
      <c r="B27" s="205" t="s">
        <v>59</v>
      </c>
      <c r="C27" s="180" t="str">
        <f t="shared" si="7"/>
        <v>SylvieCHAUMERLIAC</v>
      </c>
      <c r="D27" s="105" t="s">
        <v>193</v>
      </c>
      <c r="E27" s="77">
        <v>74</v>
      </c>
    </row>
    <row r="28" spans="1:13" ht="20.100000000000001" customHeight="1" x14ac:dyDescent="0.2">
      <c r="A28" s="205" t="s">
        <v>169</v>
      </c>
      <c r="B28" s="203" t="s">
        <v>39</v>
      </c>
      <c r="C28" s="180" t="str">
        <f t="shared" si="7"/>
        <v>SergeFONTANON</v>
      </c>
      <c r="D28" s="105" t="s">
        <v>192</v>
      </c>
      <c r="E28" s="77">
        <v>72</v>
      </c>
    </row>
    <row r="29" spans="1:13" ht="20.100000000000001" customHeight="1" x14ac:dyDescent="0.2">
      <c r="A29" s="205" t="s">
        <v>107</v>
      </c>
      <c r="B29" s="203" t="s">
        <v>37</v>
      </c>
      <c r="C29" s="180" t="str">
        <f t="shared" si="7"/>
        <v>GeorgesFLORENCIO</v>
      </c>
      <c r="D29" s="105" t="s">
        <v>192</v>
      </c>
      <c r="E29" s="77">
        <v>63</v>
      </c>
    </row>
    <row r="30" spans="1:13" ht="20.100000000000001" customHeight="1" x14ac:dyDescent="0.2">
      <c r="A30" s="205" t="s">
        <v>107</v>
      </c>
      <c r="B30" s="205" t="s">
        <v>108</v>
      </c>
      <c r="C30" s="180" t="str">
        <f t="shared" si="7"/>
        <v>JanineFLORENCIO</v>
      </c>
      <c r="D30" s="105" t="s">
        <v>193</v>
      </c>
      <c r="E30" s="77">
        <v>74</v>
      </c>
    </row>
    <row r="31" spans="1:13" ht="20.100000000000001" customHeight="1" x14ac:dyDescent="0.2">
      <c r="A31" s="205" t="s">
        <v>17</v>
      </c>
      <c r="B31" s="203" t="s">
        <v>18</v>
      </c>
      <c r="C31" s="180" t="str">
        <f t="shared" si="7"/>
        <v>Jean MarcHESEL</v>
      </c>
      <c r="D31" s="105" t="s">
        <v>192</v>
      </c>
      <c r="E31" s="77">
        <v>55</v>
      </c>
    </row>
    <row r="32" spans="1:13" ht="20.100000000000001" customHeight="1" x14ac:dyDescent="0.2">
      <c r="A32" s="205" t="s">
        <v>212</v>
      </c>
      <c r="B32" s="201" t="s">
        <v>213</v>
      </c>
      <c r="C32" s="180" t="str">
        <f t="shared" si="7"/>
        <v>PascalJOFFRE</v>
      </c>
      <c r="D32" s="105" t="s">
        <v>192</v>
      </c>
      <c r="E32" s="77">
        <v>68</v>
      </c>
    </row>
    <row r="33" spans="1:7" ht="20.100000000000001" customHeight="1" x14ac:dyDescent="0.2">
      <c r="A33" s="205" t="s">
        <v>212</v>
      </c>
      <c r="B33" s="205" t="s">
        <v>214</v>
      </c>
      <c r="C33" s="92" t="str">
        <f t="shared" si="6"/>
        <v>CarolineJOFFRE</v>
      </c>
      <c r="D33" s="105" t="s">
        <v>193</v>
      </c>
      <c r="E33" s="77">
        <v>76</v>
      </c>
    </row>
    <row r="34" spans="1:7" ht="20.100000000000001" customHeight="1" x14ac:dyDescent="0.2">
      <c r="A34" s="205" t="s">
        <v>65</v>
      </c>
      <c r="B34" s="203" t="s">
        <v>14</v>
      </c>
      <c r="C34" s="92" t="str">
        <f t="shared" si="6"/>
        <v>MichelMANOUVRIER</v>
      </c>
      <c r="D34" s="105" t="s">
        <v>192</v>
      </c>
      <c r="E34" s="77">
        <v>66</v>
      </c>
    </row>
    <row r="35" spans="1:7" ht="20.100000000000001" customHeight="1" x14ac:dyDescent="0.2">
      <c r="A35" s="205" t="s">
        <v>67</v>
      </c>
      <c r="B35" s="205" t="s">
        <v>68</v>
      </c>
      <c r="C35" s="92" t="str">
        <f t="shared" si="6"/>
        <v>CorinneTIXIER</v>
      </c>
      <c r="D35" s="105" t="s">
        <v>193</v>
      </c>
      <c r="E35" s="77">
        <v>81</v>
      </c>
    </row>
    <row r="36" spans="1:7" ht="20.100000000000001" customHeight="1" x14ac:dyDescent="0.2">
      <c r="A36" s="205" t="s">
        <v>271</v>
      </c>
      <c r="B36" s="205" t="s">
        <v>272</v>
      </c>
      <c r="C36" s="92" t="str">
        <f t="shared" si="6"/>
        <v>NicoleMAZUEL</v>
      </c>
      <c r="D36" s="105" t="s">
        <v>193</v>
      </c>
      <c r="E36" s="77">
        <v>65</v>
      </c>
    </row>
    <row r="37" spans="1:7" ht="20.100000000000001" customHeight="1" x14ac:dyDescent="0.2">
      <c r="A37" s="205" t="s">
        <v>170</v>
      </c>
      <c r="B37" s="203" t="s">
        <v>18</v>
      </c>
      <c r="C37" s="92" t="str">
        <f t="shared" si="6"/>
        <v>Jean MarcPAUTY</v>
      </c>
      <c r="D37" s="105" t="s">
        <v>192</v>
      </c>
      <c r="E37" s="77">
        <v>63</v>
      </c>
    </row>
    <row r="38" spans="1:7" ht="20.100000000000001" customHeight="1" x14ac:dyDescent="0.2">
      <c r="A38" s="205" t="s">
        <v>301</v>
      </c>
      <c r="B38" s="205" t="s">
        <v>58</v>
      </c>
      <c r="C38" s="92" t="str">
        <f t="shared" si="6"/>
        <v>AnnieSIOCHAN</v>
      </c>
      <c r="D38" s="105" t="s">
        <v>193</v>
      </c>
      <c r="E38" s="77">
        <v>73</v>
      </c>
    </row>
    <row r="39" spans="1:7" ht="20.100000000000001" customHeight="1" x14ac:dyDescent="0.2">
      <c r="A39" s="205" t="s">
        <v>86</v>
      </c>
      <c r="B39" s="201" t="s">
        <v>52</v>
      </c>
      <c r="C39" s="92" t="str">
        <f t="shared" si="6"/>
        <v>GillesVESCOVI</v>
      </c>
      <c r="D39" s="105" t="s">
        <v>192</v>
      </c>
      <c r="E39" s="77">
        <v>57</v>
      </c>
    </row>
    <row r="40" spans="1:7" ht="20.100000000000001" customHeight="1" x14ac:dyDescent="0.2">
      <c r="A40" s="205" t="s">
        <v>86</v>
      </c>
      <c r="B40" s="205" t="s">
        <v>95</v>
      </c>
      <c r="C40" s="92" t="str">
        <f t="shared" si="6"/>
        <v>RégineVESCOVI</v>
      </c>
      <c r="D40" s="105" t="s">
        <v>193</v>
      </c>
      <c r="E40" s="77">
        <v>74</v>
      </c>
    </row>
    <row r="41" spans="1:7" ht="20.100000000000001" customHeight="1" x14ac:dyDescent="0.2">
      <c r="A41" s="80"/>
      <c r="B41" s="80"/>
      <c r="C41" s="92" t="str">
        <f t="shared" si="6"/>
        <v/>
      </c>
      <c r="D41" s="80"/>
      <c r="E41" s="80"/>
    </row>
    <row r="42" spans="1:7" ht="20.100000000000001" customHeight="1" x14ac:dyDescent="0.2">
      <c r="A42" s="80"/>
      <c r="B42" s="80"/>
      <c r="C42" s="92" t="str">
        <f t="shared" si="6"/>
        <v/>
      </c>
      <c r="D42" s="80"/>
      <c r="E42" s="80"/>
    </row>
    <row r="43" spans="1:7" ht="20.100000000000001" customHeight="1" x14ac:dyDescent="0.2">
      <c r="A43" s="274" t="s">
        <v>184</v>
      </c>
      <c r="B43" s="275"/>
      <c r="C43" s="275"/>
      <c r="D43" s="275"/>
      <c r="G43" s="100" t="s">
        <v>187</v>
      </c>
    </row>
    <row r="44" spans="1:7" ht="20.100000000000001" customHeight="1" thickBot="1" x14ac:dyDescent="0.25">
      <c r="A44" s="93" t="s">
        <v>180</v>
      </c>
      <c r="B44" s="94" t="s">
        <v>81</v>
      </c>
      <c r="C44" s="95" t="s">
        <v>186</v>
      </c>
      <c r="D44" s="95" t="s">
        <v>194</v>
      </c>
      <c r="E44" s="77" t="s">
        <v>181</v>
      </c>
      <c r="G44" s="101">
        <f>SMALL(Tableau51523313947[BRUT],1)</f>
        <v>90</v>
      </c>
    </row>
    <row r="45" spans="1:7" ht="20.100000000000001" customHeight="1" x14ac:dyDescent="0.2">
      <c r="A45" s="83"/>
      <c r="B45" s="83"/>
      <c r="C45" s="92" t="str">
        <f t="shared" si="6"/>
        <v/>
      </c>
      <c r="D45" s="105"/>
      <c r="E45" s="84">
        <v>90</v>
      </c>
      <c r="G45" s="101">
        <f>SMALL(Tableau51523313947[BRUT],2)</f>
        <v>90</v>
      </c>
    </row>
    <row r="46" spans="1:7" ht="20.100000000000001" customHeight="1" x14ac:dyDescent="0.2">
      <c r="A46" s="83"/>
      <c r="B46" s="83"/>
      <c r="C46" s="92" t="str">
        <f t="shared" si="6"/>
        <v/>
      </c>
      <c r="D46" s="105"/>
      <c r="E46" s="78">
        <v>90</v>
      </c>
      <c r="G46" s="101">
        <f>SMALL(Tableau51523313947[BRUT],3)</f>
        <v>90</v>
      </c>
    </row>
    <row r="47" spans="1:7" ht="20.100000000000001" customHeight="1" x14ac:dyDescent="0.2">
      <c r="A47" s="85"/>
      <c r="B47" s="83"/>
      <c r="C47" s="92" t="str">
        <f t="shared" si="6"/>
        <v/>
      </c>
      <c r="D47" s="105"/>
      <c r="E47" s="78">
        <v>90</v>
      </c>
    </row>
    <row r="48" spans="1:7" ht="20.100000000000001" customHeight="1" x14ac:dyDescent="0.2">
      <c r="A48" s="85"/>
      <c r="B48" s="83"/>
      <c r="C48" s="92" t="str">
        <f t="shared" si="6"/>
        <v/>
      </c>
      <c r="D48" s="105"/>
      <c r="E48" s="78">
        <v>90</v>
      </c>
    </row>
    <row r="49" spans="1:7" ht="20.100000000000001" customHeight="1" x14ac:dyDescent="0.2">
      <c r="A49" s="80"/>
      <c r="B49" s="80"/>
      <c r="C49" s="92" t="str">
        <f t="shared" si="6"/>
        <v/>
      </c>
      <c r="D49" s="80"/>
      <c r="E49" s="80"/>
    </row>
    <row r="50" spans="1:7" ht="20.100000000000001" customHeight="1" x14ac:dyDescent="0.2">
      <c r="A50" s="80"/>
      <c r="B50" s="80"/>
      <c r="C50" s="92" t="str">
        <f t="shared" si="6"/>
        <v/>
      </c>
      <c r="D50" s="80"/>
      <c r="E50" s="80"/>
    </row>
    <row r="51" spans="1:7" ht="20.100000000000001" customHeight="1" thickBot="1" x14ac:dyDescent="0.25">
      <c r="A51" s="276" t="s">
        <v>19</v>
      </c>
      <c r="B51" s="277"/>
      <c r="C51" s="277"/>
      <c r="D51" s="277"/>
      <c r="G51" s="100" t="s">
        <v>187</v>
      </c>
    </row>
    <row r="52" spans="1:7" ht="20.100000000000001" customHeight="1" thickBot="1" x14ac:dyDescent="0.25">
      <c r="A52" s="93" t="s">
        <v>180</v>
      </c>
      <c r="B52" s="94" t="s">
        <v>81</v>
      </c>
      <c r="C52" s="95" t="s">
        <v>186</v>
      </c>
      <c r="D52" s="95" t="s">
        <v>194</v>
      </c>
      <c r="E52" s="77" t="s">
        <v>181</v>
      </c>
      <c r="G52" s="101">
        <f>SMALL(Tableau61624324048[BRUT],1)</f>
        <v>57</v>
      </c>
    </row>
    <row r="53" spans="1:7" ht="20.100000000000001" customHeight="1" x14ac:dyDescent="0.2">
      <c r="A53" s="200" t="s">
        <v>254</v>
      </c>
      <c r="B53" s="203" t="s">
        <v>25</v>
      </c>
      <c r="C53" s="92" t="str">
        <f t="shared" si="6"/>
        <v>JacquesANAVOISARD</v>
      </c>
      <c r="D53" s="105" t="s">
        <v>192</v>
      </c>
      <c r="E53" s="77">
        <v>72</v>
      </c>
      <c r="G53" s="101">
        <f>SMALL(Tableau61624324048[BRUT],2)</f>
        <v>59</v>
      </c>
    </row>
    <row r="54" spans="1:7" ht="20.100000000000001" customHeight="1" x14ac:dyDescent="0.2">
      <c r="A54" s="200" t="s">
        <v>221</v>
      </c>
      <c r="B54" s="203" t="s">
        <v>7</v>
      </c>
      <c r="C54" s="92" t="str">
        <f t="shared" ref="C54:C62" si="8">TRIM(CONCATENATE(B54,A54))</f>
        <v>RobertBRUNEL</v>
      </c>
      <c r="D54" s="105" t="s">
        <v>192</v>
      </c>
      <c r="E54" s="77">
        <v>66</v>
      </c>
      <c r="G54" s="101">
        <f>SMALL(Tableau61624324048[BRUT],3)</f>
        <v>60</v>
      </c>
    </row>
    <row r="55" spans="1:7" ht="20.100000000000001" customHeight="1" x14ac:dyDescent="0.2">
      <c r="A55" s="200" t="s">
        <v>199</v>
      </c>
      <c r="B55" s="200" t="s">
        <v>60</v>
      </c>
      <c r="C55" s="180" t="str">
        <f t="shared" si="8"/>
        <v>MichelleCIBERT GOTHON</v>
      </c>
      <c r="D55" s="105" t="s">
        <v>193</v>
      </c>
      <c r="E55" s="181">
        <v>74</v>
      </c>
    </row>
    <row r="56" spans="1:7" ht="20.100000000000001" customHeight="1" x14ac:dyDescent="0.2">
      <c r="A56" s="200" t="s">
        <v>302</v>
      </c>
      <c r="B56" s="201" t="s">
        <v>39</v>
      </c>
      <c r="C56" s="180" t="str">
        <f t="shared" si="8"/>
        <v>SergeCOUTAREL</v>
      </c>
      <c r="D56" s="105" t="s">
        <v>192</v>
      </c>
      <c r="E56" s="181">
        <v>68</v>
      </c>
    </row>
    <row r="57" spans="1:7" ht="20.100000000000001" customHeight="1" x14ac:dyDescent="0.2">
      <c r="A57" s="200" t="s">
        <v>224</v>
      </c>
      <c r="B57" s="201" t="s">
        <v>47</v>
      </c>
      <c r="C57" s="180" t="str">
        <f t="shared" si="8"/>
        <v>PhilippeCUVIER</v>
      </c>
      <c r="D57" s="105" t="s">
        <v>192</v>
      </c>
      <c r="E57" s="181">
        <v>57</v>
      </c>
    </row>
    <row r="58" spans="1:7" ht="20.100000000000001" customHeight="1" x14ac:dyDescent="0.2">
      <c r="A58" s="200" t="s">
        <v>286</v>
      </c>
      <c r="B58" s="201" t="s">
        <v>273</v>
      </c>
      <c r="C58" s="180" t="str">
        <f t="shared" si="8"/>
        <v>Jean-MichelFAURIE</v>
      </c>
      <c r="D58" s="105" t="s">
        <v>192</v>
      </c>
      <c r="E58" s="181">
        <v>69</v>
      </c>
    </row>
    <row r="59" spans="1:7" ht="20.100000000000001" customHeight="1" x14ac:dyDescent="0.2">
      <c r="A59" s="200" t="s">
        <v>303</v>
      </c>
      <c r="B59" s="201" t="s">
        <v>160</v>
      </c>
      <c r="C59" s="180" t="str">
        <f t="shared" si="8"/>
        <v>MaëlGEBRILLAT</v>
      </c>
      <c r="D59" s="105" t="s">
        <v>192</v>
      </c>
      <c r="E59" s="181">
        <v>59</v>
      </c>
    </row>
    <row r="60" spans="1:7" ht="20.100000000000001" customHeight="1" x14ac:dyDescent="0.2">
      <c r="A60" s="200" t="s">
        <v>77</v>
      </c>
      <c r="B60" s="201" t="s">
        <v>304</v>
      </c>
      <c r="C60" s="180" t="str">
        <f t="shared" si="8"/>
        <v>MichaëlGUEGUEN</v>
      </c>
      <c r="D60" s="105" t="s">
        <v>192</v>
      </c>
      <c r="E60" s="181">
        <v>60</v>
      </c>
    </row>
    <row r="61" spans="1:7" ht="20.100000000000001" customHeight="1" x14ac:dyDescent="0.2">
      <c r="A61" s="200" t="s">
        <v>305</v>
      </c>
      <c r="B61" s="201" t="s">
        <v>37</v>
      </c>
      <c r="C61" s="180" t="str">
        <f t="shared" si="8"/>
        <v>GeorgesMAZEYRAT</v>
      </c>
      <c r="D61" s="105" t="s">
        <v>192</v>
      </c>
      <c r="E61" s="181">
        <v>90</v>
      </c>
    </row>
    <row r="62" spans="1:7" ht="20.100000000000001" customHeight="1" x14ac:dyDescent="0.2">
      <c r="A62" s="200" t="s">
        <v>277</v>
      </c>
      <c r="B62" s="201" t="s">
        <v>31</v>
      </c>
      <c r="C62" s="180" t="str">
        <f t="shared" si="8"/>
        <v>DanielVALLUY</v>
      </c>
      <c r="D62" s="105" t="s">
        <v>192</v>
      </c>
      <c r="E62" s="181">
        <v>67</v>
      </c>
    </row>
    <row r="63" spans="1:7" ht="20.100000000000001" customHeight="1" x14ac:dyDescent="0.2">
      <c r="A63" s="80"/>
      <c r="B63" s="80"/>
      <c r="C63" s="92" t="str">
        <f t="shared" si="6"/>
        <v/>
      </c>
      <c r="D63" s="80"/>
      <c r="E63" s="80"/>
    </row>
    <row r="64" spans="1:7" ht="20.100000000000001" customHeight="1" x14ac:dyDescent="0.2">
      <c r="A64" s="80"/>
      <c r="B64" s="80"/>
      <c r="C64" s="92" t="str">
        <f t="shared" si="6"/>
        <v/>
      </c>
      <c r="D64" s="80"/>
      <c r="E64" s="80"/>
    </row>
    <row r="65" spans="1:7" ht="20.100000000000001" customHeight="1" thickBot="1" x14ac:dyDescent="0.25">
      <c r="A65" s="278" t="s">
        <v>8</v>
      </c>
      <c r="B65" s="279"/>
      <c r="C65" s="279"/>
      <c r="D65" s="279"/>
      <c r="G65" s="100" t="s">
        <v>187</v>
      </c>
    </row>
    <row r="66" spans="1:7" ht="19.350000000000001" customHeight="1" thickBot="1" x14ac:dyDescent="0.25">
      <c r="A66" s="93" t="s">
        <v>180</v>
      </c>
      <c r="B66" s="94" t="s">
        <v>81</v>
      </c>
      <c r="C66" s="95" t="s">
        <v>186</v>
      </c>
      <c r="D66" s="95" t="s">
        <v>194</v>
      </c>
      <c r="E66" s="77" t="s">
        <v>181</v>
      </c>
      <c r="G66" s="101">
        <f>SMALL(Tableau71725334149[BRUT],1)</f>
        <v>62</v>
      </c>
    </row>
    <row r="67" spans="1:7" ht="19.350000000000001" customHeight="1" x14ac:dyDescent="0.2">
      <c r="A67" s="194" t="s">
        <v>306</v>
      </c>
      <c r="B67" s="195" t="s">
        <v>307</v>
      </c>
      <c r="C67" s="92" t="str">
        <f t="shared" si="6"/>
        <v>RogerGOUGAT</v>
      </c>
      <c r="D67" s="105" t="s">
        <v>192</v>
      </c>
      <c r="E67" s="77">
        <v>75</v>
      </c>
      <c r="G67" s="101">
        <f>SMALL(Tableau71725334149[BRUT],2)</f>
        <v>63</v>
      </c>
    </row>
    <row r="68" spans="1:7" ht="20.100000000000001" customHeight="1" x14ac:dyDescent="0.2">
      <c r="A68" s="194" t="s">
        <v>109</v>
      </c>
      <c r="B68" s="195" t="s">
        <v>52</v>
      </c>
      <c r="C68" s="92" t="str">
        <f t="shared" si="6"/>
        <v>GillesJOSSIER</v>
      </c>
      <c r="D68" s="105" t="s">
        <v>192</v>
      </c>
      <c r="E68" s="77">
        <v>62</v>
      </c>
      <c r="G68" s="101">
        <f>SMALL(Tableau71725334149[BRUT],3)</f>
        <v>68</v>
      </c>
    </row>
    <row r="69" spans="1:7" ht="20.100000000000001" customHeight="1" x14ac:dyDescent="0.2">
      <c r="A69" s="194" t="s">
        <v>15</v>
      </c>
      <c r="B69" s="195" t="s">
        <v>16</v>
      </c>
      <c r="C69" s="92" t="str">
        <f t="shared" si="6"/>
        <v>JeanLOUBAT</v>
      </c>
      <c r="D69" s="105" t="s">
        <v>192</v>
      </c>
      <c r="E69" s="77">
        <v>63</v>
      </c>
    </row>
    <row r="70" spans="1:7" ht="20.100000000000001" customHeight="1" x14ac:dyDescent="0.2">
      <c r="A70" s="194" t="s">
        <v>42</v>
      </c>
      <c r="B70" s="195" t="s">
        <v>43</v>
      </c>
      <c r="C70" s="92" t="str">
        <f t="shared" si="6"/>
        <v>PierreNEYRIAL</v>
      </c>
      <c r="D70" s="105" t="s">
        <v>192</v>
      </c>
      <c r="E70" s="77">
        <v>68</v>
      </c>
    </row>
    <row r="71" spans="1:7" ht="20.100000000000001" customHeight="1" x14ac:dyDescent="0.2">
      <c r="A71" s="194" t="s">
        <v>133</v>
      </c>
      <c r="B71" s="195" t="s">
        <v>39</v>
      </c>
      <c r="C71" s="92" t="str">
        <f t="shared" si="6"/>
        <v>SergeROBERT</v>
      </c>
      <c r="D71" s="105" t="s">
        <v>192</v>
      </c>
      <c r="E71" s="77">
        <v>68</v>
      </c>
    </row>
    <row r="72" spans="1:7" ht="20.100000000000001" customHeight="1" x14ac:dyDescent="0.2">
      <c r="A72" s="80"/>
      <c r="B72" s="80"/>
      <c r="C72" s="92" t="str">
        <f t="shared" ref="C72" si="9">TRIM(CONCATENATE(B72,A72))</f>
        <v/>
      </c>
      <c r="D72" s="80"/>
      <c r="E72" s="89"/>
    </row>
    <row r="73" spans="1:7" ht="20.100000000000001" customHeight="1" x14ac:dyDescent="0.2">
      <c r="A73" s="80"/>
      <c r="B73" s="80"/>
      <c r="C73" s="92" t="str">
        <f t="shared" si="6"/>
        <v/>
      </c>
      <c r="D73" s="80"/>
      <c r="E73" s="80"/>
    </row>
    <row r="74" spans="1:7" ht="20.25" thickBot="1" x14ac:dyDescent="0.25">
      <c r="A74" s="280" t="s">
        <v>74</v>
      </c>
      <c r="B74" s="281"/>
      <c r="C74" s="281"/>
      <c r="D74" s="281"/>
      <c r="G74" s="100" t="s">
        <v>187</v>
      </c>
    </row>
    <row r="75" spans="1:7" ht="20.25" thickBot="1" x14ac:dyDescent="0.25">
      <c r="A75" s="99" t="s">
        <v>180</v>
      </c>
      <c r="B75" s="94" t="s">
        <v>81</v>
      </c>
      <c r="C75" s="95" t="s">
        <v>186</v>
      </c>
      <c r="D75" s="95" t="s">
        <v>194</v>
      </c>
      <c r="E75" s="77" t="s">
        <v>181</v>
      </c>
      <c r="G75" s="101">
        <f>SMALL(Tableau81826344250[BRUT],1)</f>
        <v>57</v>
      </c>
    </row>
    <row r="76" spans="1:7" ht="19.5" x14ac:dyDescent="0.2">
      <c r="A76" s="224" t="s">
        <v>41</v>
      </c>
      <c r="B76" s="225" t="s">
        <v>252</v>
      </c>
      <c r="C76" s="92" t="str">
        <f t="shared" si="6"/>
        <v>J.LouisRODDE</v>
      </c>
      <c r="D76" s="105" t="s">
        <v>192</v>
      </c>
      <c r="E76" s="77">
        <v>57</v>
      </c>
      <c r="G76" s="101">
        <f>SMALL(Tableau81826344250[BRUT],2)</f>
        <v>59</v>
      </c>
    </row>
    <row r="77" spans="1:7" ht="19.5" x14ac:dyDescent="0.2">
      <c r="A77" s="224" t="s">
        <v>117</v>
      </c>
      <c r="B77" s="225" t="s">
        <v>83</v>
      </c>
      <c r="C77" s="92" t="str">
        <f t="shared" si="6"/>
        <v>DidierBENAZECH</v>
      </c>
      <c r="D77" s="105" t="s">
        <v>192</v>
      </c>
      <c r="E77" s="77">
        <v>59</v>
      </c>
      <c r="G77" s="101">
        <f>SMALL(Tableau81826344250[BRUT],3)</f>
        <v>59</v>
      </c>
    </row>
    <row r="78" spans="1:7" ht="19.5" x14ac:dyDescent="0.2">
      <c r="A78" s="224" t="s">
        <v>173</v>
      </c>
      <c r="B78" s="225" t="s">
        <v>174</v>
      </c>
      <c r="C78" s="92" t="str">
        <f t="shared" si="6"/>
        <v>ThierryJACQUEMOT</v>
      </c>
      <c r="D78" s="105" t="s">
        <v>192</v>
      </c>
      <c r="E78" s="77">
        <v>59</v>
      </c>
    </row>
    <row r="79" spans="1:7" ht="19.5" x14ac:dyDescent="0.2">
      <c r="A79" s="224" t="s">
        <v>73</v>
      </c>
      <c r="B79" s="224" t="s">
        <v>66</v>
      </c>
      <c r="C79" s="92" t="str">
        <f t="shared" si="6"/>
        <v>MartineVACHOT</v>
      </c>
      <c r="D79" s="105" t="s">
        <v>193</v>
      </c>
      <c r="E79" s="77">
        <v>68</v>
      </c>
    </row>
    <row r="80" spans="1:7" ht="19.5" x14ac:dyDescent="0.2">
      <c r="A80" s="224" t="s">
        <v>29</v>
      </c>
      <c r="B80" s="225" t="s">
        <v>14</v>
      </c>
      <c r="C80" s="92" t="str">
        <f t="shared" si="6"/>
        <v>MichelLABAUNE</v>
      </c>
      <c r="D80" s="105" t="s">
        <v>192</v>
      </c>
      <c r="E80" s="77">
        <v>76</v>
      </c>
    </row>
    <row r="81" spans="1:7" ht="19.5" x14ac:dyDescent="0.2">
      <c r="A81" s="80"/>
      <c r="B81" s="80"/>
      <c r="C81" s="92" t="str">
        <f t="shared" si="6"/>
        <v/>
      </c>
      <c r="D81" s="80"/>
      <c r="E81" s="80"/>
    </row>
    <row r="82" spans="1:7" ht="19.5" x14ac:dyDescent="0.2">
      <c r="A82" s="80"/>
      <c r="B82" s="80"/>
      <c r="C82" s="92" t="str">
        <f t="shared" si="6"/>
        <v/>
      </c>
      <c r="D82" s="80"/>
      <c r="E82" s="80"/>
    </row>
    <row r="83" spans="1:7" ht="20.25" thickBot="1" x14ac:dyDescent="0.25">
      <c r="A83" s="268" t="s">
        <v>26</v>
      </c>
      <c r="B83" s="269"/>
      <c r="C83" s="269"/>
      <c r="D83" s="269"/>
      <c r="G83" s="100" t="s">
        <v>187</v>
      </c>
    </row>
    <row r="84" spans="1:7" ht="20.25" thickBot="1" x14ac:dyDescent="0.25">
      <c r="A84" s="93" t="s">
        <v>180</v>
      </c>
      <c r="B84" s="94" t="s">
        <v>81</v>
      </c>
      <c r="C84" s="95" t="s">
        <v>186</v>
      </c>
      <c r="D84" s="95" t="s">
        <v>194</v>
      </c>
      <c r="E84" s="77" t="s">
        <v>181</v>
      </c>
      <c r="G84" s="101">
        <f>SMALL(Tableau91927354351[BRUT],1)</f>
        <v>75</v>
      </c>
    </row>
    <row r="85" spans="1:7" ht="19.5" x14ac:dyDescent="0.2">
      <c r="A85" s="199" t="s">
        <v>175</v>
      </c>
      <c r="B85" s="199" t="s">
        <v>176</v>
      </c>
      <c r="C85" s="92" t="str">
        <f t="shared" si="6"/>
        <v>AgnèsFLECHE</v>
      </c>
      <c r="D85" s="105" t="s">
        <v>193</v>
      </c>
      <c r="E85" s="77">
        <v>83</v>
      </c>
      <c r="G85" s="101">
        <f>SMALL(Tableau91927354351[BRUT],2)</f>
        <v>80</v>
      </c>
    </row>
    <row r="86" spans="1:7" ht="19.5" x14ac:dyDescent="0.2">
      <c r="A86" s="199" t="s">
        <v>122</v>
      </c>
      <c r="B86" s="199" t="s">
        <v>66</v>
      </c>
      <c r="C86" s="92" t="str">
        <f t="shared" si="6"/>
        <v>MartineMOUTH</v>
      </c>
      <c r="D86" s="105" t="s">
        <v>193</v>
      </c>
      <c r="E86" s="77">
        <v>75</v>
      </c>
      <c r="G86" s="101">
        <f>SMALL(Tableau91927354351[BRUT],3)</f>
        <v>83</v>
      </c>
    </row>
    <row r="87" spans="1:7" ht="19.5" x14ac:dyDescent="0.2">
      <c r="A87" s="199" t="s">
        <v>116</v>
      </c>
      <c r="B87" s="199" t="s">
        <v>59</v>
      </c>
      <c r="C87" s="92" t="str">
        <f t="shared" si="6"/>
        <v>SylvieRUSZNIEWSKI</v>
      </c>
      <c r="D87" s="105" t="s">
        <v>193</v>
      </c>
      <c r="E87" s="77">
        <v>80</v>
      </c>
    </row>
    <row r="88" spans="1:7" ht="19.5" x14ac:dyDescent="0.2">
      <c r="A88" s="199" t="s">
        <v>150</v>
      </c>
      <c r="B88" s="203" t="s">
        <v>151</v>
      </c>
      <c r="C88" s="92" t="str">
        <f t="shared" si="6"/>
        <v>ErnestSPENGLER</v>
      </c>
      <c r="D88" s="105" t="s">
        <v>192</v>
      </c>
      <c r="E88" s="77">
        <v>85</v>
      </c>
    </row>
    <row r="89" spans="1:7" ht="19.5" x14ac:dyDescent="0.2">
      <c r="A89" s="199" t="s">
        <v>185</v>
      </c>
      <c r="B89" s="199" t="s">
        <v>115</v>
      </c>
      <c r="C89" s="92" t="str">
        <f t="shared" si="6"/>
        <v>OdileVIDAL</v>
      </c>
      <c r="D89" s="105" t="s">
        <v>193</v>
      </c>
      <c r="E89" s="77">
        <v>85</v>
      </c>
    </row>
  </sheetData>
  <mergeCells count="12">
    <mergeCell ref="A83:D83"/>
    <mergeCell ref="A1:I1"/>
    <mergeCell ref="A3:D3"/>
    <mergeCell ref="J5:K5"/>
    <mergeCell ref="J11:K11"/>
    <mergeCell ref="A22:D22"/>
    <mergeCell ref="J18:K18"/>
    <mergeCell ref="J21:K21"/>
    <mergeCell ref="A43:D43"/>
    <mergeCell ref="A51:D51"/>
    <mergeCell ref="A65:D65"/>
    <mergeCell ref="A74:D74"/>
  </mergeCells>
  <dataValidations count="1">
    <dataValidation type="list" allowBlank="1" showInputMessage="1" showErrorMessage="1" sqref="A53:A62" xr:uid="{89840449-51B1-5C4D-86ED-2CF185BB8239}">
      <formula1>NOM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U77"/>
  <sheetViews>
    <sheetView topLeftCell="A3" workbookViewId="0">
      <selection activeCell="K3" sqref="K3"/>
    </sheetView>
  </sheetViews>
  <sheetFormatPr baseColWidth="10" defaultRowHeight="12.75" x14ac:dyDescent="0.2"/>
  <cols>
    <col min="1" max="1" width="30.140625" bestFit="1" customWidth="1"/>
    <col min="2" max="2" width="19.140625" customWidth="1"/>
    <col min="3" max="3" width="13.140625" hidden="1" customWidth="1"/>
    <col min="4" max="4" width="4.7109375" customWidth="1"/>
    <col min="5" max="5" width="8.42578125" customWidth="1"/>
    <col min="6" max="6" width="8.7109375" customWidth="1"/>
    <col min="7" max="7" width="14.28515625" bestFit="1" customWidth="1"/>
    <col min="8" max="8" width="3" customWidth="1"/>
    <col min="9" max="9" width="3.7109375" customWidth="1"/>
    <col min="10" max="10" width="21.140625" customWidth="1"/>
    <col min="11" max="11" width="18" customWidth="1"/>
    <col min="12" max="12" width="15.28515625" customWidth="1"/>
    <col min="13" max="13" width="13" bestFit="1" customWidth="1"/>
    <col min="14" max="14" width="11" customWidth="1"/>
    <col min="15" max="15" width="12.85546875" hidden="1" customWidth="1"/>
    <col min="16" max="16" width="8.140625" hidden="1" customWidth="1"/>
    <col min="17" max="17" width="6.85546875" hidden="1" customWidth="1"/>
    <col min="18" max="18" width="4.85546875" customWidth="1"/>
    <col min="19" max="19" width="30.42578125" bestFit="1" customWidth="1"/>
    <col min="20" max="20" width="9.42578125" bestFit="1" customWidth="1"/>
    <col min="21" max="21" width="13" bestFit="1" customWidth="1"/>
  </cols>
  <sheetData>
    <row r="1" spans="1:21" ht="67.7" customHeight="1" thickBot="1" x14ac:dyDescent="0.25">
      <c r="A1" s="261" t="s">
        <v>210</v>
      </c>
      <c r="B1" s="262"/>
      <c r="C1" s="262"/>
      <c r="D1" s="262"/>
      <c r="E1" s="262"/>
      <c r="F1" s="262"/>
      <c r="G1" s="262"/>
      <c r="H1" s="262"/>
      <c r="I1" s="263"/>
    </row>
    <row r="3" spans="1:21" ht="20.25" thickBot="1" x14ac:dyDescent="0.25">
      <c r="A3" s="270" t="s">
        <v>13</v>
      </c>
      <c r="B3" s="271"/>
      <c r="C3" s="271"/>
      <c r="D3" s="271"/>
    </row>
    <row r="4" spans="1:21" ht="20.100000000000001" customHeight="1" thickBot="1" x14ac:dyDescent="0.25">
      <c r="A4" s="93" t="s">
        <v>180</v>
      </c>
      <c r="B4" s="94" t="s">
        <v>81</v>
      </c>
      <c r="C4" s="95" t="s">
        <v>186</v>
      </c>
      <c r="D4" s="95" t="s">
        <v>194</v>
      </c>
      <c r="E4" s="77" t="s">
        <v>181</v>
      </c>
      <c r="G4" s="100" t="s">
        <v>187</v>
      </c>
    </row>
    <row r="5" spans="1:21" ht="20.100000000000001" customHeight="1" x14ac:dyDescent="0.2">
      <c r="A5" s="202" t="s">
        <v>293</v>
      </c>
      <c r="B5" s="203" t="s">
        <v>24</v>
      </c>
      <c r="C5" s="92" t="str">
        <f>TRIM(CONCATENATE(B5,A5))</f>
        <v>Jean LouisCOLOMBIER</v>
      </c>
      <c r="D5" s="105" t="s">
        <v>192</v>
      </c>
      <c r="E5" s="77">
        <v>60</v>
      </c>
      <c r="G5" s="101">
        <f>SMALL(Tableau3132129374553[BRUT],1)</f>
        <v>57</v>
      </c>
      <c r="J5" s="264" t="s">
        <v>189</v>
      </c>
      <c r="K5" s="265"/>
      <c r="L5" s="125" t="s">
        <v>190</v>
      </c>
      <c r="M5" s="103" t="s">
        <v>191</v>
      </c>
    </row>
    <row r="6" spans="1:21" ht="20.100000000000001" customHeight="1" x14ac:dyDescent="0.2">
      <c r="A6" s="202" t="s">
        <v>11</v>
      </c>
      <c r="B6" s="203" t="s">
        <v>12</v>
      </c>
      <c r="C6" s="92" t="str">
        <f t="shared" ref="C6:C13" si="0">TRIM(CONCATENATE(B6,A6))</f>
        <v>AlainJEANDREAU</v>
      </c>
      <c r="D6" s="105" t="s">
        <v>192</v>
      </c>
      <c r="E6" s="77">
        <v>57</v>
      </c>
      <c r="G6" s="101">
        <f>SMALL(Tableau3132129374553[BRUT],2)</f>
        <v>60</v>
      </c>
      <c r="J6" s="107" t="str">
        <f t="array" ref="J6">IFERROR(INDEX(A$5:A$100, MATCH(1, (D$5:D$100="F")*(E$5:E$100=L6)*(COUNTIF(J$5:J5,A$5:A$100)=0), 0)),"")</f>
        <v>MAZUEL</v>
      </c>
      <c r="K6" s="107" t="str">
        <f t="array" ref="K6">IFERROR(INDEX(B$5:B$100, MATCH(1, (D$5:D$100="F")*(E$5:E$100=L6)*(COUNTIF(L$5:L5,E$5:E$100)=0), 0)),"")</f>
        <v>Nicole</v>
      </c>
      <c r="L6" s="126">
        <f t="array" ref="L6">IFERROR(SMALL(IF(D$6:D$100="F",E$6:E$100), ROW(A1)),"")</f>
        <v>67</v>
      </c>
      <c r="M6" s="104">
        <v>1</v>
      </c>
      <c r="O6" s="120" t="s">
        <v>201</v>
      </c>
      <c r="P6" s="121" t="s">
        <v>202</v>
      </c>
      <c r="Q6" s="122" t="s">
        <v>191</v>
      </c>
      <c r="S6" s="116" t="s">
        <v>201</v>
      </c>
      <c r="T6" s="128" t="s">
        <v>202</v>
      </c>
      <c r="U6" s="118" t="s">
        <v>191</v>
      </c>
    </row>
    <row r="7" spans="1:21" ht="20.100000000000001" customHeight="1" x14ac:dyDescent="0.2">
      <c r="A7" s="202" t="s">
        <v>309</v>
      </c>
      <c r="B7" s="203" t="s">
        <v>183</v>
      </c>
      <c r="C7" s="92" t="str">
        <f t="shared" si="0"/>
        <v>RolandJULHIEN</v>
      </c>
      <c r="D7" s="105" t="s">
        <v>192</v>
      </c>
      <c r="E7" s="77">
        <v>66</v>
      </c>
      <c r="G7" s="101">
        <f>SMALL(Tableau3132129374553[BRUT],3)</f>
        <v>60</v>
      </c>
      <c r="J7" s="108" t="str">
        <f t="array" ref="J7">IFERROR(INDEX(A$6:A$100, MATCH(1, (D$6:D$100="F")*(E$6:E$100=L7)*(COUNTIF(J$5:J6,A$6:A$100)=0), 0)),"")</f>
        <v>DOMY</v>
      </c>
      <c r="K7" s="108" t="str">
        <f t="array" ref="K7">IFERROR(INDEX(B$6:B$100, MATCH(1, (D$6:D$100="F")*(E$6:E$100=L7)*(COUNTIF(K$5:K6,B$6:B$100)=0), 0)),"")</f>
        <v>Monique</v>
      </c>
      <c r="L7" s="126">
        <f t="array" ref="L7">IFERROR(SMALL(IF((D$5:D$100="F")*(COUNTIF(L$5:L5,E$5:E$100)=0), E$5:E$100), ROW(A2)),"")</f>
        <v>67</v>
      </c>
      <c r="M7" s="104">
        <v>2</v>
      </c>
      <c r="O7" s="119" t="str">
        <f>A3</f>
        <v>RIOM</v>
      </c>
      <c r="P7" s="114">
        <f>SUM(G5:G7)</f>
        <v>177</v>
      </c>
      <c r="Q7" s="104">
        <f>RANK(P7, P$7:P$13, 1) + COUNTIF(P$7:P7, P7) - 1</f>
        <v>1</v>
      </c>
      <c r="S7" s="117" t="str">
        <f>INDEX(O$7:O$13, MATCH(ROW(A1), Q$7:Q$13, 0))</f>
        <v>RIOM</v>
      </c>
      <c r="T7" s="129">
        <f>INDEX(P$7:P$13, MATCH(ROW(A1), Q$7:Q$13, 0))</f>
        <v>177</v>
      </c>
      <c r="U7" s="104">
        <f>ROW(A1)</f>
        <v>1</v>
      </c>
    </row>
    <row r="8" spans="1:21" ht="20.100000000000001" customHeight="1" x14ac:dyDescent="0.2">
      <c r="A8" s="202" t="s">
        <v>51</v>
      </c>
      <c r="B8" s="203" t="s">
        <v>44</v>
      </c>
      <c r="C8" s="92" t="str">
        <f t="shared" si="0"/>
        <v>JackyMACHAJ</v>
      </c>
      <c r="D8" s="105" t="s">
        <v>192</v>
      </c>
      <c r="E8" s="77">
        <v>63</v>
      </c>
      <c r="O8" s="119" t="str">
        <f>A14</f>
        <v>GAZELEC CLERMONT</v>
      </c>
      <c r="P8" s="114">
        <f>SUM(G15:G17)</f>
        <v>185</v>
      </c>
      <c r="Q8" s="104">
        <f>RANK(P8, P$7:P$13, 1) + COUNTIF(P$7:P8, P8) - 1</f>
        <v>5</v>
      </c>
      <c r="S8" s="117" t="str">
        <f t="shared" ref="S8:S13" si="1">INDEX(O$7:O$13, MATCH(ROW(A2), Q$7:Q$13, 0))</f>
        <v>MAURIAC</v>
      </c>
      <c r="T8" s="129">
        <f t="shared" ref="T8:T13" si="2">INDEX(P$7:P$13, MATCH(ROW(A2), Q$7:Q$13, 0))</f>
        <v>178</v>
      </c>
      <c r="U8" s="104">
        <f t="shared" ref="U8:U13" si="3">ROW(A2)</f>
        <v>2</v>
      </c>
    </row>
    <row r="9" spans="1:21" ht="20.100000000000001" customHeight="1" x14ac:dyDescent="0.2">
      <c r="A9" s="202" t="s">
        <v>298</v>
      </c>
      <c r="B9" s="203" t="s">
        <v>39</v>
      </c>
      <c r="C9" s="92" t="str">
        <f t="shared" si="0"/>
        <v>SergeMARCUCCI</v>
      </c>
      <c r="D9" s="105" t="s">
        <v>192</v>
      </c>
      <c r="E9" s="77">
        <v>60</v>
      </c>
      <c r="O9" s="119" t="str">
        <f>A26</f>
        <v>GAZELEC MOULINS/VICHY</v>
      </c>
      <c r="P9" s="114">
        <f>SUM(G27:G29)</f>
        <v>270</v>
      </c>
      <c r="Q9" s="104">
        <f>RANK(P9, P$7:P$13, 1) + COUNTIF(P$7:P9, P9) - 1</f>
        <v>7</v>
      </c>
      <c r="S9" s="117" t="str">
        <f t="shared" si="1"/>
        <v>VAL D'AUZON</v>
      </c>
      <c r="T9" s="129">
        <f t="shared" si="2"/>
        <v>181</v>
      </c>
      <c r="U9" s="104">
        <f t="shared" si="3"/>
        <v>3</v>
      </c>
    </row>
    <row r="10" spans="1:21" ht="20.100000000000001" customHeight="1" x14ac:dyDescent="0.2">
      <c r="A10" s="202" t="s">
        <v>49</v>
      </c>
      <c r="B10" s="203" t="s">
        <v>50</v>
      </c>
      <c r="C10" s="92" t="str">
        <f t="shared" si="0"/>
        <v>ChristianMOULIN</v>
      </c>
      <c r="D10" s="105" t="s">
        <v>192</v>
      </c>
      <c r="E10" s="77">
        <v>60</v>
      </c>
      <c r="J10" s="264" t="s">
        <v>195</v>
      </c>
      <c r="K10" s="265"/>
      <c r="L10" s="125" t="s">
        <v>190</v>
      </c>
      <c r="M10" s="103" t="s">
        <v>191</v>
      </c>
      <c r="O10" s="119" t="str">
        <f>A34</f>
        <v>VAL D'AUZON</v>
      </c>
      <c r="P10" s="114">
        <f>SUM(G35:G37)</f>
        <v>181</v>
      </c>
      <c r="Q10" s="104">
        <f>RANK(P10, P$7:P$13, 1) + COUNTIF(P$7:P10, P10) - 1</f>
        <v>3</v>
      </c>
      <c r="S10" s="117" t="str">
        <f t="shared" si="1"/>
        <v>CHARADE</v>
      </c>
      <c r="T10" s="129">
        <f t="shared" si="2"/>
        <v>181</v>
      </c>
      <c r="U10" s="104">
        <f t="shared" si="3"/>
        <v>4</v>
      </c>
    </row>
    <row r="11" spans="1:21" ht="20.100000000000001" customHeight="1" x14ac:dyDescent="0.2">
      <c r="A11" s="202" t="s">
        <v>138</v>
      </c>
      <c r="B11" s="203" t="s">
        <v>44</v>
      </c>
      <c r="C11" s="230" t="str">
        <f>TRIM(CONCATENATE(B11,A11))</f>
        <v>JackyPEGEON</v>
      </c>
      <c r="D11" s="105" t="s">
        <v>192</v>
      </c>
      <c r="E11" s="77">
        <v>62</v>
      </c>
      <c r="J11" s="109" t="str">
        <f t="array" ref="J11">IFERROR(INDEX(A$5:A$100, MATCH(1, (D$5:D$100="M")*(E$5:E$100=L11)*(COUNTIF(J$10:J10,A$5:A$100)=0), 0)),"")</f>
        <v>JEANDREAU</v>
      </c>
      <c r="K11" s="109" t="str">
        <f t="array" ref="K11">IFERROR(INDEX(B$5:B$100, MATCH(1, (D$5:D$100="M")*(E$5:E$100=L11)*(COUNTIF(L$10:L10,E$5:E$100)=0), 0)),"")</f>
        <v>Alain</v>
      </c>
      <c r="L11" s="127">
        <f t="array" ref="L11">IFERROR(SMALL(IF(D$5:D$100="M",E$5:E$100), ROW(A1)),"")</f>
        <v>57</v>
      </c>
      <c r="M11" s="106">
        <v>1</v>
      </c>
      <c r="O11" s="119" t="str">
        <f>A46</f>
        <v>CHARADE</v>
      </c>
      <c r="P11" s="114">
        <f>SUM(G47:G49)</f>
        <v>181</v>
      </c>
      <c r="Q11" s="104">
        <f>RANK(P11, P$7:P$13, 1) + COUNTIF(P$7:P11, P11) - 1</f>
        <v>4</v>
      </c>
      <c r="S11" s="117" t="str">
        <f t="shared" si="1"/>
        <v>GAZELEC CLERMONT</v>
      </c>
      <c r="T11" s="129">
        <f t="shared" si="2"/>
        <v>185</v>
      </c>
      <c r="U11" s="104">
        <f t="shared" si="3"/>
        <v>5</v>
      </c>
    </row>
    <row r="12" spans="1:21" ht="20.100000000000001" customHeight="1" x14ac:dyDescent="0.2">
      <c r="A12" s="80"/>
      <c r="B12" s="80"/>
      <c r="C12" s="92" t="str">
        <f t="shared" si="0"/>
        <v/>
      </c>
      <c r="D12" s="80"/>
      <c r="E12" s="80"/>
      <c r="J12" s="109" t="str">
        <f t="array" ref="J12">IFERROR(INDEX(A$5:A$100, MATCH(1, (D$5:D$100="M")*(E$5:E$100=L12)*(COUNTIF(J$10:J11,A$5:A$100)=0), 0)),"")</f>
        <v>BENAZECH</v>
      </c>
      <c r="K12" s="109" t="str">
        <f t="array" ref="K12">IFERROR(INDEX(B$5:B$100, MATCH(1, (D$5:D$100="M")*(E$5:E$100=L12)*(COUNTIF(K$10:K11,B$5:B$100)=0), 0)),"")</f>
        <v>Didier</v>
      </c>
      <c r="L12" s="127">
        <f t="array" ref="L12">IFERROR(SMALL(IF(D$5:D$100="M",E$5:E$100), ROW(A2)),"")</f>
        <v>57</v>
      </c>
      <c r="M12" s="106">
        <v>2</v>
      </c>
      <c r="O12" s="119" t="str">
        <f>A59</f>
        <v>MAURIAC</v>
      </c>
      <c r="P12" s="114">
        <f>SUM(G61:G63)</f>
        <v>178</v>
      </c>
      <c r="Q12" s="104">
        <f>RANK(P12, P$7:P$13, 1) + COUNTIF(P$7:P12, P12) - 1</f>
        <v>2</v>
      </c>
      <c r="S12" s="117" t="str">
        <f t="shared" si="1"/>
        <v>MONTPENSIER</v>
      </c>
      <c r="T12" s="129">
        <f t="shared" si="2"/>
        <v>215</v>
      </c>
      <c r="U12" s="104">
        <f t="shared" si="3"/>
        <v>6</v>
      </c>
    </row>
    <row r="13" spans="1:21" ht="20.100000000000001" customHeight="1" x14ac:dyDescent="0.2">
      <c r="A13" s="80"/>
      <c r="B13" s="80"/>
      <c r="C13" s="92" t="str">
        <f t="shared" si="0"/>
        <v/>
      </c>
      <c r="D13" s="80"/>
      <c r="E13" s="80"/>
      <c r="J13" s="109" t="str">
        <f t="array" ref="J13">IFERROR(INDEX(A$5:A$100, MATCH(1, (D$5:D$100="M")*(E$5:E$100=L13)*(COUNTIF(J$10:J12,A$5:A$100)=0), 0)),"")</f>
        <v>CAMBET</v>
      </c>
      <c r="K13" s="109" t="str">
        <f t="array" ref="K13">IFERROR(INDEX(B$6:B$100, MATCH(1, (D$6:D$100="M")*(E$6:E$100=L13)*(COUNTIF(K$10:K12,B$6:B$100)=0), 0)),"")</f>
        <v xml:space="preserve">Gérard  </v>
      </c>
      <c r="L13" s="127">
        <f t="array" ref="L13">IFERROR(SMALL(IF(D$5:D$100="M",E$5:E$100), ROW(A3)),"")</f>
        <v>58</v>
      </c>
      <c r="M13" s="106">
        <v>3</v>
      </c>
      <c r="O13" s="123" t="str">
        <f>A71</f>
        <v>MONTPENSIER</v>
      </c>
      <c r="P13" s="124">
        <f>SUM(G73:G75)</f>
        <v>215</v>
      </c>
      <c r="Q13" s="104">
        <f>RANK(P13, P$7:P$13, 1) + COUNTIF(P$7:P13, P13) - 1</f>
        <v>6</v>
      </c>
      <c r="S13" s="117" t="str">
        <f t="shared" si="1"/>
        <v>GAZELEC MOULINS/VICHY</v>
      </c>
      <c r="T13" s="129">
        <f t="shared" si="2"/>
        <v>270</v>
      </c>
      <c r="U13" s="104">
        <f t="shared" si="3"/>
        <v>7</v>
      </c>
    </row>
    <row r="14" spans="1:21" ht="20.100000000000001" customHeight="1" x14ac:dyDescent="0.2">
      <c r="A14" s="272" t="s">
        <v>130</v>
      </c>
      <c r="B14" s="273"/>
      <c r="C14" s="273"/>
      <c r="D14" s="273"/>
      <c r="G14" s="100" t="s">
        <v>187</v>
      </c>
    </row>
    <row r="15" spans="1:21" ht="20.100000000000001" customHeight="1" thickBot="1" x14ac:dyDescent="0.25">
      <c r="A15" s="93" t="s">
        <v>180</v>
      </c>
      <c r="B15" s="94" t="s">
        <v>81</v>
      </c>
      <c r="C15" s="95" t="s">
        <v>186</v>
      </c>
      <c r="D15" s="95" t="s">
        <v>194</v>
      </c>
      <c r="E15" s="77" t="s">
        <v>181</v>
      </c>
      <c r="G15" s="101">
        <f>SMALL(Tableau4142230384654[BRUT],1)</f>
        <v>58</v>
      </c>
    </row>
    <row r="16" spans="1:21" ht="20.100000000000001" customHeight="1" x14ac:dyDescent="0.2">
      <c r="A16" s="205" t="s">
        <v>20</v>
      </c>
      <c r="B16" s="203" t="s">
        <v>283</v>
      </c>
      <c r="C16" s="92" t="str">
        <f t="shared" ref="C16:C77" si="4">TRIM(CONCATENATE(B16,A16))</f>
        <v>Gérard CAMBET</v>
      </c>
      <c r="D16" s="105" t="s">
        <v>192</v>
      </c>
      <c r="E16" s="77">
        <v>58</v>
      </c>
      <c r="G16" s="101">
        <f>SMALL(Tableau4142230384654[BRUT],2)</f>
        <v>60</v>
      </c>
      <c r="J16" s="266" t="s">
        <v>196</v>
      </c>
      <c r="K16" s="267"/>
      <c r="L16" s="102" t="s">
        <v>197</v>
      </c>
      <c r="M16" s="110" t="s">
        <v>203</v>
      </c>
    </row>
    <row r="17" spans="1:13" ht="20.100000000000001" customHeight="1" x14ac:dyDescent="0.2">
      <c r="A17" s="205" t="s">
        <v>92</v>
      </c>
      <c r="B17" s="203" t="s">
        <v>52</v>
      </c>
      <c r="C17" s="92" t="str">
        <f t="shared" si="4"/>
        <v>GillesFROMAGE</v>
      </c>
      <c r="D17" s="105" t="s">
        <v>192</v>
      </c>
      <c r="E17" s="77">
        <v>85</v>
      </c>
      <c r="G17" s="101">
        <f>SMALL(Tableau4142230384654[BRUT],3)</f>
        <v>67</v>
      </c>
      <c r="J17" s="107" t="s">
        <v>98</v>
      </c>
      <c r="K17" s="107" t="s">
        <v>99</v>
      </c>
      <c r="L17" s="111">
        <v>3</v>
      </c>
      <c r="M17" s="80"/>
    </row>
    <row r="18" spans="1:13" ht="20.100000000000001" customHeight="1" x14ac:dyDescent="0.2">
      <c r="A18" s="205" t="s">
        <v>17</v>
      </c>
      <c r="B18" s="201" t="s">
        <v>18</v>
      </c>
      <c r="C18" s="92" t="str">
        <f t="shared" si="4"/>
        <v>Jean MarcHESEL</v>
      </c>
      <c r="D18" s="105" t="s">
        <v>192</v>
      </c>
      <c r="E18" s="77">
        <v>60</v>
      </c>
      <c r="J18" s="112"/>
      <c r="K18" s="112"/>
      <c r="L18" s="112"/>
      <c r="M18" s="80"/>
    </row>
    <row r="19" spans="1:13" ht="20.100000000000001" customHeight="1" x14ac:dyDescent="0.2">
      <c r="A19" s="205" t="s">
        <v>65</v>
      </c>
      <c r="B19" s="203" t="s">
        <v>14</v>
      </c>
      <c r="C19" s="92" t="str">
        <f t="shared" si="4"/>
        <v>MichelMANOUVRIER</v>
      </c>
      <c r="D19" s="105" t="s">
        <v>192</v>
      </c>
      <c r="E19" s="77">
        <v>72</v>
      </c>
      <c r="J19" s="266" t="s">
        <v>200</v>
      </c>
      <c r="K19" s="267"/>
      <c r="L19" s="102" t="s">
        <v>197</v>
      </c>
      <c r="M19" s="113" t="s">
        <v>203</v>
      </c>
    </row>
    <row r="20" spans="1:13" ht="20.100000000000001" customHeight="1" x14ac:dyDescent="0.2">
      <c r="A20" s="205" t="s">
        <v>67</v>
      </c>
      <c r="B20" s="205" t="s">
        <v>68</v>
      </c>
      <c r="C20" s="92" t="str">
        <f t="shared" si="4"/>
        <v>CorinneTIXIER</v>
      </c>
      <c r="D20" s="105" t="s">
        <v>193</v>
      </c>
      <c r="E20" s="77">
        <v>72</v>
      </c>
      <c r="J20" s="109" t="s">
        <v>20</v>
      </c>
      <c r="K20" s="109" t="s">
        <v>21</v>
      </c>
      <c r="L20" s="114">
        <v>0.55000000000000004</v>
      </c>
      <c r="M20" s="115"/>
    </row>
    <row r="21" spans="1:13" ht="20.100000000000001" customHeight="1" x14ac:dyDescent="0.2">
      <c r="A21" s="205" t="s">
        <v>271</v>
      </c>
      <c r="B21" s="205" t="s">
        <v>272</v>
      </c>
      <c r="C21" s="92" t="str">
        <f t="shared" si="4"/>
        <v>NicoleMAZUEL</v>
      </c>
      <c r="D21" s="105" t="s">
        <v>193</v>
      </c>
      <c r="E21" s="77">
        <v>67</v>
      </c>
    </row>
    <row r="22" spans="1:13" ht="20.100000000000001" customHeight="1" x14ac:dyDescent="0.2">
      <c r="A22" s="205" t="s">
        <v>86</v>
      </c>
      <c r="B22" s="203" t="s">
        <v>52</v>
      </c>
      <c r="C22" s="92" t="str">
        <f t="shared" si="4"/>
        <v>GillesVESCOVI</v>
      </c>
      <c r="D22" s="105" t="s">
        <v>192</v>
      </c>
      <c r="E22" s="77">
        <v>67</v>
      </c>
    </row>
    <row r="23" spans="1:13" ht="20.100000000000001" customHeight="1" x14ac:dyDescent="0.2">
      <c r="A23" s="205" t="s">
        <v>86</v>
      </c>
      <c r="B23" s="205" t="s">
        <v>95</v>
      </c>
      <c r="C23" s="92" t="str">
        <f t="shared" si="4"/>
        <v>RégineVESCOVI</v>
      </c>
      <c r="D23" s="105" t="s">
        <v>193</v>
      </c>
      <c r="E23" s="77">
        <v>70</v>
      </c>
    </row>
    <row r="24" spans="1:13" ht="20.100000000000001" customHeight="1" x14ac:dyDescent="0.2">
      <c r="A24" s="80"/>
      <c r="B24" s="80"/>
      <c r="C24" s="92" t="str">
        <f t="shared" si="4"/>
        <v/>
      </c>
      <c r="D24" s="80"/>
      <c r="E24" s="80"/>
    </row>
    <row r="25" spans="1:13" ht="20.100000000000001" customHeight="1" x14ac:dyDescent="0.2">
      <c r="A25" s="80"/>
      <c r="B25" s="80"/>
      <c r="C25" s="92" t="str">
        <f t="shared" si="4"/>
        <v/>
      </c>
      <c r="D25" s="80"/>
      <c r="E25" s="80"/>
    </row>
    <row r="26" spans="1:13" ht="20.100000000000001" customHeight="1" x14ac:dyDescent="0.2">
      <c r="A26" s="274" t="s">
        <v>184</v>
      </c>
      <c r="B26" s="275"/>
      <c r="C26" s="275"/>
      <c r="D26" s="275"/>
      <c r="G26" s="100" t="s">
        <v>187</v>
      </c>
    </row>
    <row r="27" spans="1:13" ht="20.100000000000001" customHeight="1" thickBot="1" x14ac:dyDescent="0.25">
      <c r="A27" s="93" t="s">
        <v>180</v>
      </c>
      <c r="B27" s="94" t="s">
        <v>81</v>
      </c>
      <c r="C27" s="95" t="s">
        <v>186</v>
      </c>
      <c r="D27" s="95" t="s">
        <v>194</v>
      </c>
      <c r="E27" s="77" t="s">
        <v>181</v>
      </c>
      <c r="G27" s="101">
        <f>SMALL(Tableau5152331394755[BRUT],1)</f>
        <v>90</v>
      </c>
    </row>
    <row r="28" spans="1:13" ht="20.100000000000001" customHeight="1" x14ac:dyDescent="0.2">
      <c r="A28" s="83"/>
      <c r="B28" s="83"/>
      <c r="C28" s="92" t="str">
        <f t="shared" si="4"/>
        <v/>
      </c>
      <c r="D28" s="105"/>
      <c r="E28" s="84">
        <v>90</v>
      </c>
      <c r="G28" s="101">
        <f>SMALL(Tableau5152331394755[BRUT],2)</f>
        <v>90</v>
      </c>
    </row>
    <row r="29" spans="1:13" ht="20.100000000000001" customHeight="1" x14ac:dyDescent="0.2">
      <c r="A29" s="83"/>
      <c r="B29" s="83"/>
      <c r="C29" s="92" t="str">
        <f t="shared" si="4"/>
        <v/>
      </c>
      <c r="D29" s="105"/>
      <c r="E29" s="78">
        <v>90</v>
      </c>
      <c r="G29" s="101">
        <f>SMALL(Tableau5152331394755[BRUT],3)</f>
        <v>90</v>
      </c>
    </row>
    <row r="30" spans="1:13" ht="20.100000000000001" customHeight="1" x14ac:dyDescent="0.2">
      <c r="A30" s="85"/>
      <c r="B30" s="83"/>
      <c r="C30" s="92" t="str">
        <f t="shared" si="4"/>
        <v/>
      </c>
      <c r="D30" s="105"/>
      <c r="E30" s="78">
        <v>90</v>
      </c>
    </row>
    <row r="31" spans="1:13" ht="20.100000000000001" customHeight="1" x14ac:dyDescent="0.2">
      <c r="A31" s="85"/>
      <c r="B31" s="83"/>
      <c r="C31" s="92" t="str">
        <f t="shared" si="4"/>
        <v/>
      </c>
      <c r="D31" s="105"/>
      <c r="E31" s="78">
        <v>90</v>
      </c>
    </row>
    <row r="32" spans="1:13" ht="20.100000000000001" customHeight="1" x14ac:dyDescent="0.2">
      <c r="A32" s="80"/>
      <c r="B32" s="80"/>
      <c r="C32" s="92" t="str">
        <f t="shared" si="4"/>
        <v/>
      </c>
      <c r="D32" s="80"/>
      <c r="E32" s="80"/>
    </row>
    <row r="33" spans="1:7" ht="20.100000000000001" customHeight="1" x14ac:dyDescent="0.2">
      <c r="A33" s="80"/>
      <c r="B33" s="80"/>
      <c r="C33" s="92" t="str">
        <f t="shared" si="4"/>
        <v/>
      </c>
      <c r="D33" s="80"/>
      <c r="E33" s="80"/>
    </row>
    <row r="34" spans="1:7" ht="20.100000000000001" customHeight="1" thickBot="1" x14ac:dyDescent="0.25">
      <c r="A34" s="276" t="s">
        <v>19</v>
      </c>
      <c r="B34" s="277"/>
      <c r="C34" s="277"/>
      <c r="D34" s="277"/>
      <c r="G34" s="100" t="s">
        <v>187</v>
      </c>
    </row>
    <row r="35" spans="1:7" ht="20.100000000000001" customHeight="1" thickBot="1" x14ac:dyDescent="0.25">
      <c r="A35" s="93" t="s">
        <v>180</v>
      </c>
      <c r="B35" s="94" t="s">
        <v>81</v>
      </c>
      <c r="C35" s="95" t="s">
        <v>186</v>
      </c>
      <c r="D35" s="95" t="s">
        <v>194</v>
      </c>
      <c r="E35" s="77" t="s">
        <v>181</v>
      </c>
      <c r="G35" s="101">
        <f>SMALL(Tableau6162432404856[BRUT],1)</f>
        <v>59</v>
      </c>
    </row>
    <row r="36" spans="1:7" ht="20.100000000000001" customHeight="1" x14ac:dyDescent="0.2">
      <c r="A36" s="200" t="s">
        <v>254</v>
      </c>
      <c r="B36" s="203" t="s">
        <v>25</v>
      </c>
      <c r="C36" s="92" t="str">
        <f t="shared" si="4"/>
        <v>JacquesANAVOISARD</v>
      </c>
      <c r="D36" s="105" t="s">
        <v>192</v>
      </c>
      <c r="E36" s="77">
        <v>71</v>
      </c>
      <c r="G36" s="101">
        <f>SMALL(Tableau6162432404856[BRUT],2)</f>
        <v>61</v>
      </c>
    </row>
    <row r="37" spans="1:7" ht="20.100000000000001" customHeight="1" x14ac:dyDescent="0.2">
      <c r="A37" s="200" t="s">
        <v>221</v>
      </c>
      <c r="B37" s="203" t="s">
        <v>7</v>
      </c>
      <c r="C37" s="92" t="str">
        <f t="shared" si="4"/>
        <v>RobertBRUNEL</v>
      </c>
      <c r="D37" s="105" t="s">
        <v>192</v>
      </c>
      <c r="E37" s="77">
        <v>61</v>
      </c>
      <c r="G37" s="101">
        <f>SMALL(Tableau6162432404856[BRUT],3)</f>
        <v>61</v>
      </c>
    </row>
    <row r="38" spans="1:7" ht="20.100000000000001" customHeight="1" x14ac:dyDescent="0.2">
      <c r="A38" s="200" t="s">
        <v>199</v>
      </c>
      <c r="B38" s="200" t="s">
        <v>60</v>
      </c>
      <c r="C38" s="92" t="str">
        <f t="shared" si="4"/>
        <v>MichelleCIBERT GOTHON</v>
      </c>
      <c r="D38" s="105" t="s">
        <v>193</v>
      </c>
      <c r="E38" s="77">
        <v>76</v>
      </c>
    </row>
    <row r="39" spans="1:7" ht="20.100000000000001" customHeight="1" x14ac:dyDescent="0.2">
      <c r="A39" s="200" t="s">
        <v>224</v>
      </c>
      <c r="B39" s="203" t="s">
        <v>47</v>
      </c>
      <c r="C39" s="92" t="str">
        <f t="shared" si="4"/>
        <v>PhilippeCUVIER</v>
      </c>
      <c r="D39" s="105" t="s">
        <v>192</v>
      </c>
      <c r="E39" s="77">
        <v>67</v>
      </c>
    </row>
    <row r="40" spans="1:7" ht="20.100000000000001" customHeight="1" x14ac:dyDescent="0.2">
      <c r="A40" s="200" t="s">
        <v>159</v>
      </c>
      <c r="B40" s="203" t="s">
        <v>310</v>
      </c>
      <c r="C40" s="92" t="str">
        <f t="shared" si="4"/>
        <v>MaëlGEBRILLAT</v>
      </c>
      <c r="D40" s="105" t="s">
        <v>192</v>
      </c>
      <c r="E40" s="77">
        <v>59</v>
      </c>
    </row>
    <row r="41" spans="1:7" ht="20.100000000000001" customHeight="1" x14ac:dyDescent="0.2">
      <c r="A41" s="200" t="s">
        <v>274</v>
      </c>
      <c r="B41" s="203" t="s">
        <v>275</v>
      </c>
      <c r="C41" s="92" t="str">
        <f t="shared" si="4"/>
        <v>MickaëlGUEGUEN</v>
      </c>
      <c r="D41" s="105" t="s">
        <v>192</v>
      </c>
      <c r="E41" s="77">
        <v>64</v>
      </c>
    </row>
    <row r="42" spans="1:7" ht="20.100000000000001" customHeight="1" x14ac:dyDescent="0.2">
      <c r="A42" s="200" t="s">
        <v>276</v>
      </c>
      <c r="B42" s="201" t="s">
        <v>71</v>
      </c>
      <c r="C42" s="92" t="str">
        <f t="shared" si="4"/>
        <v>ClaudeMERCIER</v>
      </c>
      <c r="D42" s="105" t="s">
        <v>192</v>
      </c>
      <c r="E42" s="77">
        <v>61</v>
      </c>
    </row>
    <row r="43" spans="1:7" ht="20.100000000000001" customHeight="1" x14ac:dyDescent="0.2">
      <c r="A43" s="200" t="s">
        <v>229</v>
      </c>
      <c r="B43" s="201" t="s">
        <v>31</v>
      </c>
      <c r="C43" s="92" t="str">
        <f t="shared" si="4"/>
        <v>DanielPIERROT</v>
      </c>
      <c r="D43" s="105" t="s">
        <v>192</v>
      </c>
      <c r="E43" s="77">
        <v>70</v>
      </c>
    </row>
    <row r="44" spans="1:7" ht="20.100000000000001" customHeight="1" x14ac:dyDescent="0.2">
      <c r="A44" s="80"/>
      <c r="B44" s="80"/>
      <c r="C44" s="92" t="str">
        <f t="shared" si="4"/>
        <v/>
      </c>
      <c r="D44" s="80"/>
      <c r="E44" s="80"/>
    </row>
    <row r="45" spans="1:7" ht="20.100000000000001" customHeight="1" x14ac:dyDescent="0.2">
      <c r="A45" s="80"/>
      <c r="B45" s="80"/>
      <c r="C45" s="92" t="str">
        <f t="shared" si="4"/>
        <v/>
      </c>
      <c r="D45" s="80"/>
      <c r="E45" s="80"/>
    </row>
    <row r="46" spans="1:7" ht="20.100000000000001" customHeight="1" thickBot="1" x14ac:dyDescent="0.25">
      <c r="A46" s="278" t="s">
        <v>8</v>
      </c>
      <c r="B46" s="279"/>
      <c r="C46" s="279"/>
      <c r="D46" s="279"/>
      <c r="G46" s="100" t="s">
        <v>187</v>
      </c>
    </row>
    <row r="47" spans="1:7" ht="20.100000000000001" customHeight="1" thickBot="1" x14ac:dyDescent="0.25">
      <c r="A47" s="93" t="s">
        <v>180</v>
      </c>
      <c r="B47" s="94" t="s">
        <v>81</v>
      </c>
      <c r="C47" s="95" t="s">
        <v>186</v>
      </c>
      <c r="D47" s="95" t="s">
        <v>194</v>
      </c>
      <c r="E47" s="77" t="s">
        <v>181</v>
      </c>
      <c r="G47" s="101">
        <f>SMALL(Tableau7172533414957[BRUT],1)</f>
        <v>59</v>
      </c>
    </row>
    <row r="48" spans="1:7" ht="20.100000000000001" customHeight="1" x14ac:dyDescent="0.2">
      <c r="A48" s="194" t="s">
        <v>89</v>
      </c>
      <c r="B48" s="195" t="s">
        <v>90</v>
      </c>
      <c r="C48" s="92" t="str">
        <f t="shared" si="4"/>
        <v>GuyDE BREUVAND</v>
      </c>
      <c r="D48" s="105" t="s">
        <v>192</v>
      </c>
      <c r="E48" s="77">
        <v>74</v>
      </c>
      <c r="G48" s="101">
        <f>SMALL(Tableau7172533414957[BRUT],2)</f>
        <v>60</v>
      </c>
    </row>
    <row r="49" spans="1:7" ht="20.100000000000001" customHeight="1" x14ac:dyDescent="0.2">
      <c r="A49" s="194" t="s">
        <v>306</v>
      </c>
      <c r="B49" s="195" t="s">
        <v>307</v>
      </c>
      <c r="C49" s="92" t="str">
        <f t="shared" si="4"/>
        <v>RogerGOUGAT</v>
      </c>
      <c r="D49" s="105" t="s">
        <v>192</v>
      </c>
      <c r="E49" s="77">
        <v>69</v>
      </c>
      <c r="G49" s="101">
        <f>SMALL(Tableau7172533414957[BRUT],3)</f>
        <v>62</v>
      </c>
    </row>
    <row r="50" spans="1:7" ht="20.100000000000001" customHeight="1" x14ac:dyDescent="0.2">
      <c r="A50" s="206" t="s">
        <v>22</v>
      </c>
      <c r="B50" s="245" t="s">
        <v>23</v>
      </c>
      <c r="C50" s="92" t="str">
        <f t="shared" si="4"/>
        <v>MarcGRAVELIN</v>
      </c>
      <c r="D50" s="105" t="s">
        <v>192</v>
      </c>
      <c r="E50" s="77">
        <v>69</v>
      </c>
    </row>
    <row r="51" spans="1:7" ht="20.100000000000001" customHeight="1" x14ac:dyDescent="0.2">
      <c r="A51" s="194" t="s">
        <v>109</v>
      </c>
      <c r="B51" s="195" t="s">
        <v>52</v>
      </c>
      <c r="C51" s="92" t="str">
        <f t="shared" si="4"/>
        <v>GillesJOSSIER</v>
      </c>
      <c r="D51" s="105" t="s">
        <v>192</v>
      </c>
      <c r="E51" s="77">
        <v>60</v>
      </c>
    </row>
    <row r="52" spans="1:7" ht="20.100000000000001" customHeight="1" x14ac:dyDescent="0.2">
      <c r="A52" s="194" t="s">
        <v>15</v>
      </c>
      <c r="B52" s="195" t="s">
        <v>16</v>
      </c>
      <c r="C52" s="230" t="str">
        <f t="shared" ref="C52:C53" si="5">TRIM(CONCATENATE(B52,A52))</f>
        <v>JeanLOUBAT</v>
      </c>
      <c r="D52" s="105" t="s">
        <v>192</v>
      </c>
      <c r="E52" s="77">
        <v>65</v>
      </c>
    </row>
    <row r="53" spans="1:7" ht="20.100000000000001" customHeight="1" x14ac:dyDescent="0.2">
      <c r="A53" s="194" t="s">
        <v>84</v>
      </c>
      <c r="B53" s="194" t="s">
        <v>78</v>
      </c>
      <c r="C53" s="230" t="str">
        <f t="shared" si="5"/>
        <v>ElisabethMEYNIAL</v>
      </c>
      <c r="D53" s="105" t="s">
        <v>193</v>
      </c>
      <c r="E53" s="77">
        <v>75</v>
      </c>
    </row>
    <row r="54" spans="1:7" ht="20.100000000000001" customHeight="1" x14ac:dyDescent="0.2">
      <c r="A54" s="194" t="s">
        <v>38</v>
      </c>
      <c r="B54" s="194" t="s">
        <v>57</v>
      </c>
      <c r="C54" s="92" t="str">
        <f t="shared" si="4"/>
        <v>HuguettePERRIER</v>
      </c>
      <c r="D54" s="105" t="s">
        <v>193</v>
      </c>
      <c r="E54" s="77">
        <v>78</v>
      </c>
    </row>
    <row r="55" spans="1:7" ht="20.100000000000001" customHeight="1" x14ac:dyDescent="0.2">
      <c r="A55" s="194" t="s">
        <v>38</v>
      </c>
      <c r="B55" s="195" t="s">
        <v>39</v>
      </c>
      <c r="C55" s="92" t="str">
        <f t="shared" si="4"/>
        <v>SergePERRIER</v>
      </c>
      <c r="D55" s="105" t="s">
        <v>192</v>
      </c>
      <c r="E55" s="77">
        <v>59</v>
      </c>
    </row>
    <row r="56" spans="1:7" ht="20.100000000000001" customHeight="1" x14ac:dyDescent="0.2">
      <c r="A56" s="194" t="s">
        <v>133</v>
      </c>
      <c r="B56" s="195" t="s">
        <v>39</v>
      </c>
      <c r="C56" s="92" t="str">
        <f t="shared" si="4"/>
        <v>SergeROBERT</v>
      </c>
      <c r="D56" s="105" t="s">
        <v>192</v>
      </c>
      <c r="E56" s="77">
        <v>62</v>
      </c>
    </row>
    <row r="57" spans="1:7" ht="20.100000000000001" customHeight="1" x14ac:dyDescent="0.2">
      <c r="A57" s="80"/>
      <c r="B57" s="80"/>
      <c r="C57" s="92" t="str">
        <f t="shared" si="4"/>
        <v/>
      </c>
      <c r="D57" s="80"/>
      <c r="E57" s="89"/>
    </row>
    <row r="58" spans="1:7" ht="20.100000000000001" customHeight="1" x14ac:dyDescent="0.2">
      <c r="A58" s="80"/>
      <c r="B58" s="80"/>
      <c r="C58" s="92" t="str">
        <f t="shared" si="4"/>
        <v/>
      </c>
      <c r="D58" s="80"/>
      <c r="E58" s="80"/>
    </row>
    <row r="59" spans="1:7" ht="20.100000000000001" customHeight="1" thickBot="1" x14ac:dyDescent="0.25">
      <c r="A59" s="280" t="s">
        <v>74</v>
      </c>
      <c r="B59" s="281"/>
      <c r="C59" s="281"/>
      <c r="D59" s="281"/>
    </row>
    <row r="60" spans="1:7" ht="20.100000000000001" customHeight="1" thickBot="1" x14ac:dyDescent="0.25">
      <c r="A60" s="99" t="s">
        <v>180</v>
      </c>
      <c r="B60" s="94" t="s">
        <v>81</v>
      </c>
      <c r="C60" s="95" t="s">
        <v>186</v>
      </c>
      <c r="D60" s="95" t="s">
        <v>194</v>
      </c>
      <c r="E60" s="77" t="s">
        <v>181</v>
      </c>
      <c r="G60" s="100" t="s">
        <v>187</v>
      </c>
    </row>
    <row r="61" spans="1:7" ht="20.100000000000001" customHeight="1" x14ac:dyDescent="0.2">
      <c r="A61" s="197" t="s">
        <v>117</v>
      </c>
      <c r="B61" s="198" t="s">
        <v>83</v>
      </c>
      <c r="C61" s="92" t="str">
        <f t="shared" si="4"/>
        <v>DidierBENAZECH</v>
      </c>
      <c r="D61" s="105" t="s">
        <v>192</v>
      </c>
      <c r="E61" s="77">
        <v>57</v>
      </c>
      <c r="G61" s="101">
        <f>SMALL(Tableau8182634425058[BRUT],1)</f>
        <v>57</v>
      </c>
    </row>
    <row r="62" spans="1:7" ht="20.100000000000001" customHeight="1" x14ac:dyDescent="0.2">
      <c r="A62" s="197" t="s">
        <v>147</v>
      </c>
      <c r="B62" s="198" t="s">
        <v>47</v>
      </c>
      <c r="C62" s="92" t="str">
        <f t="shared" si="4"/>
        <v>PhilippeCARRER</v>
      </c>
      <c r="D62" s="105" t="s">
        <v>192</v>
      </c>
      <c r="E62" s="77">
        <v>70</v>
      </c>
      <c r="G62" s="101">
        <f>SMALL(Tableau8182634425058[BRUT],2)</f>
        <v>58</v>
      </c>
    </row>
    <row r="63" spans="1:7" ht="20.100000000000001" customHeight="1" x14ac:dyDescent="0.2">
      <c r="A63" s="246" t="s">
        <v>147</v>
      </c>
      <c r="B63" s="246" t="s">
        <v>149</v>
      </c>
      <c r="C63" s="230" t="str">
        <f t="shared" ref="C63:C64" si="6">TRIM(CONCATENATE(B63,A63))</f>
        <v>JacquelineCARRER</v>
      </c>
      <c r="D63" s="105" t="s">
        <v>193</v>
      </c>
      <c r="E63" s="77">
        <v>73</v>
      </c>
      <c r="G63" s="101">
        <f>SMALL(Tableau8182634425058[BRUT],3)</f>
        <v>63</v>
      </c>
    </row>
    <row r="64" spans="1:7" ht="20.100000000000001" customHeight="1" x14ac:dyDescent="0.2">
      <c r="A64" s="197" t="s">
        <v>98</v>
      </c>
      <c r="B64" s="197" t="s">
        <v>99</v>
      </c>
      <c r="C64" s="230" t="str">
        <f t="shared" si="6"/>
        <v>MoniqueDOMY</v>
      </c>
      <c r="D64" s="105" t="s">
        <v>193</v>
      </c>
      <c r="E64" s="77">
        <v>67</v>
      </c>
      <c r="G64" s="144"/>
    </row>
    <row r="65" spans="1:7" ht="20.100000000000001" customHeight="1" x14ac:dyDescent="0.2">
      <c r="A65" s="197" t="s">
        <v>173</v>
      </c>
      <c r="B65" s="198" t="s">
        <v>174</v>
      </c>
      <c r="C65" s="92" t="str">
        <f t="shared" si="4"/>
        <v>ThierryJACQUEMOT</v>
      </c>
      <c r="D65" s="105" t="s">
        <v>192</v>
      </c>
      <c r="E65" s="77">
        <v>58</v>
      </c>
    </row>
    <row r="66" spans="1:7" ht="20.100000000000001" customHeight="1" x14ac:dyDescent="0.2">
      <c r="A66" s="197" t="s">
        <v>29</v>
      </c>
      <c r="B66" s="198" t="s">
        <v>14</v>
      </c>
      <c r="C66" s="92" t="str">
        <f t="shared" si="4"/>
        <v>MichelLABAUNE</v>
      </c>
      <c r="D66" s="105" t="s">
        <v>192</v>
      </c>
      <c r="E66" s="77">
        <v>78</v>
      </c>
    </row>
    <row r="67" spans="1:7" ht="20.100000000000001" customHeight="1" x14ac:dyDescent="0.2">
      <c r="A67" s="197" t="s">
        <v>41</v>
      </c>
      <c r="B67" s="198" t="s">
        <v>252</v>
      </c>
      <c r="C67" s="92" t="str">
        <f t="shared" si="4"/>
        <v>J.LouisRODDE</v>
      </c>
      <c r="D67" s="105" t="s">
        <v>192</v>
      </c>
      <c r="E67" s="77">
        <v>63</v>
      </c>
    </row>
    <row r="68" spans="1:7" ht="19.350000000000001" customHeight="1" x14ac:dyDescent="0.2">
      <c r="A68" s="197" t="s">
        <v>73</v>
      </c>
      <c r="B68" s="197" t="s">
        <v>66</v>
      </c>
      <c r="C68" s="92" t="str">
        <f t="shared" si="4"/>
        <v>MartineVACHOT</v>
      </c>
      <c r="D68" s="105" t="s">
        <v>193</v>
      </c>
      <c r="E68" s="77">
        <v>77</v>
      </c>
    </row>
    <row r="69" spans="1:7" ht="19.350000000000001" customHeight="1" x14ac:dyDescent="0.2">
      <c r="A69" s="80"/>
      <c r="B69" s="80"/>
      <c r="C69" s="92" t="str">
        <f t="shared" si="4"/>
        <v/>
      </c>
      <c r="D69" s="80"/>
      <c r="E69" s="80"/>
    </row>
    <row r="70" spans="1:7" ht="20.100000000000001" customHeight="1" x14ac:dyDescent="0.2">
      <c r="A70" s="80"/>
      <c r="B70" s="80"/>
      <c r="C70" s="92" t="str">
        <f t="shared" si="4"/>
        <v/>
      </c>
      <c r="D70" s="80"/>
      <c r="E70" s="80"/>
    </row>
    <row r="71" spans="1:7" ht="20.100000000000001" customHeight="1" thickBot="1" x14ac:dyDescent="0.25">
      <c r="A71" s="268" t="s">
        <v>26</v>
      </c>
      <c r="B71" s="269"/>
      <c r="C71" s="269"/>
      <c r="D71" s="269"/>
    </row>
    <row r="72" spans="1:7" ht="20.100000000000001" customHeight="1" thickBot="1" x14ac:dyDescent="0.25">
      <c r="A72" s="93" t="s">
        <v>180</v>
      </c>
      <c r="B72" s="94" t="s">
        <v>81</v>
      </c>
      <c r="C72" s="95" t="s">
        <v>186</v>
      </c>
      <c r="D72" s="95" t="s">
        <v>194</v>
      </c>
      <c r="E72" s="77" t="s">
        <v>181</v>
      </c>
      <c r="G72" s="100" t="s">
        <v>187</v>
      </c>
    </row>
    <row r="73" spans="1:7" ht="20.100000000000001" customHeight="1" x14ac:dyDescent="0.2">
      <c r="A73" s="199" t="s">
        <v>143</v>
      </c>
      <c r="B73" s="199" t="s">
        <v>311</v>
      </c>
      <c r="C73" s="92" t="str">
        <f t="shared" si="4"/>
        <v>Christiane,BOURNAT</v>
      </c>
      <c r="D73" s="105" t="s">
        <v>193</v>
      </c>
      <c r="E73" s="77">
        <v>81</v>
      </c>
      <c r="G73" s="101">
        <f>SMALL(Tableau9192735435159[BRUT],1)</f>
        <v>67</v>
      </c>
    </row>
    <row r="74" spans="1:7" ht="20.100000000000001" customHeight="1" x14ac:dyDescent="0.2">
      <c r="A74" s="199" t="s">
        <v>112</v>
      </c>
      <c r="B74" s="199" t="s">
        <v>113</v>
      </c>
      <c r="C74" s="92" t="str">
        <f t="shared" si="4"/>
        <v>Marie MartineMICHAUDEL</v>
      </c>
      <c r="D74" s="105" t="s">
        <v>193</v>
      </c>
      <c r="E74" s="77">
        <v>78</v>
      </c>
      <c r="G74" s="101">
        <f>SMALL(Tableau9192735435159[BRUT],2)</f>
        <v>70</v>
      </c>
    </row>
    <row r="75" spans="1:7" ht="20.100000000000001" customHeight="1" x14ac:dyDescent="0.2">
      <c r="A75" s="199" t="s">
        <v>122</v>
      </c>
      <c r="B75" s="199" t="s">
        <v>66</v>
      </c>
      <c r="C75" s="92" t="str">
        <f t="shared" si="4"/>
        <v>MartineMOUTH</v>
      </c>
      <c r="D75" s="105" t="s">
        <v>193</v>
      </c>
      <c r="E75" s="77">
        <v>83</v>
      </c>
      <c r="G75" s="101">
        <f>SMALL(Tableau9192735435159[BRUT],3)</f>
        <v>78</v>
      </c>
    </row>
    <row r="76" spans="1:7" ht="20.100000000000001" customHeight="1" x14ac:dyDescent="0.2">
      <c r="A76" s="199" t="s">
        <v>312</v>
      </c>
      <c r="B76" s="199" t="s">
        <v>59</v>
      </c>
      <c r="C76" s="92" t="str">
        <f t="shared" si="4"/>
        <v>SylvieRUZNIESKI</v>
      </c>
      <c r="D76" s="105" t="s">
        <v>193</v>
      </c>
      <c r="E76" s="77">
        <v>67</v>
      </c>
    </row>
    <row r="77" spans="1:7" ht="20.100000000000001" customHeight="1" x14ac:dyDescent="0.2">
      <c r="A77" s="199" t="s">
        <v>177</v>
      </c>
      <c r="B77" s="199" t="s">
        <v>253</v>
      </c>
      <c r="C77" s="92" t="str">
        <f t="shared" si="4"/>
        <v>BenedicteTAILLADE</v>
      </c>
      <c r="D77" s="105" t="s">
        <v>193</v>
      </c>
      <c r="E77" s="77">
        <v>70</v>
      </c>
    </row>
  </sheetData>
  <mergeCells count="12">
    <mergeCell ref="A71:D71"/>
    <mergeCell ref="A1:I1"/>
    <mergeCell ref="A3:D3"/>
    <mergeCell ref="J5:K5"/>
    <mergeCell ref="J10:K10"/>
    <mergeCell ref="A14:D14"/>
    <mergeCell ref="J16:K16"/>
    <mergeCell ref="J19:K19"/>
    <mergeCell ref="A26:D26"/>
    <mergeCell ref="A34:D34"/>
    <mergeCell ref="A46:D46"/>
    <mergeCell ref="A59:D59"/>
  </mergeCells>
  <dataValidations count="2">
    <dataValidation type="list" allowBlank="1" showInputMessage="1" showErrorMessage="1" sqref="A36:A43" xr:uid="{00000000-0002-0000-0800-000000000000}">
      <formula1>NOM</formula1>
    </dataValidation>
    <dataValidation type="list" allowBlank="1" showInputMessage="1" showErrorMessage="1" sqref="J17" xr:uid="{00000000-0002-0000-0800-000001000000}">
      <formula1>NOMBIS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GENERAL INDIV</vt:lpstr>
      <vt:lpstr>GENERAL EQUIPE</vt:lpstr>
      <vt:lpstr>T1</vt:lpstr>
      <vt:lpstr>T2</vt:lpstr>
      <vt:lpstr>T3</vt:lpstr>
      <vt:lpstr>T4</vt:lpstr>
      <vt:lpstr>T5</vt:lpstr>
      <vt:lpstr>T6</vt:lpstr>
      <vt:lpstr>T7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 CAMBET</dc:creator>
  <cp:lastModifiedBy>Annie Joël</cp:lastModifiedBy>
  <dcterms:created xsi:type="dcterms:W3CDTF">2020-09-20T21:12:54Z</dcterms:created>
  <dcterms:modified xsi:type="dcterms:W3CDTF">2025-09-27T10:07:01Z</dcterms:modified>
</cp:coreProperties>
</file>